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updateLinks="never" codeName="ThisWorkbook" autoCompressPictures="0"/>
  <mc:AlternateContent xmlns:mc="http://schemas.openxmlformats.org/markup-compatibility/2006">
    <mc:Choice Requires="x15">
      <x15ac:absPath xmlns:x15ac="http://schemas.microsoft.com/office/spreadsheetml/2010/11/ac" url="https://eegovg01.sharepoint.com/sites/FIO_KUM/Shared Documents/VÄLISVAHENDID/Šveitsi-Eesti koostööprogramm/Hüvitistaotlused/01.01.2026-30.06.2026/"/>
    </mc:Choice>
  </mc:AlternateContent>
  <xr:revisionPtr revIDLastSave="898" documentId="13_ncr:40000001_{41272160-4A53-41ED-B583-9182686726D8}" xr6:coauthVersionLast="47" xr6:coauthVersionMax="47" xr10:uidLastSave="{B2B5E6FA-E4A3-4A5D-AD34-D0150BF6468B}"/>
  <bookViews>
    <workbookView xWindow="-120" yWindow="-120" windowWidth="29040" windowHeight="15720" tabRatio="597" xr2:uid="{00000000-000D-0000-FFFF-FFFF00000000}"/>
  </bookViews>
  <sheets>
    <sheet name="Reimbursement Request" sheetId="2" r:id="rId1"/>
    <sheet name="Financial Progress" sheetId="3" r:id="rId2"/>
    <sheet name="Operational Progress " sheetId="17" r:id="rId3"/>
    <sheet name="Programme Characteristics" sheetId="21" r:id="rId4"/>
    <sheet name="Procurement plan" sheetId="12" r:id="rId5"/>
    <sheet name="E-billing information" sheetId="20" r:id="rId6"/>
  </sheets>
  <definedNames>
    <definedName name="_xlnm._FilterDatabase" localSheetId="1" hidden="1">'Financial Progress'!$A$1:$BR$1</definedName>
    <definedName name="_Ref10720987" localSheetId="3">'Programme Characteristics'!$D$21</definedName>
    <definedName name="_Ref10721025" localSheetId="3">'Programme Characteristics'!$E$25</definedName>
    <definedName name="_Ref10721044" localSheetId="3">'Programme Characteristics'!$E$29</definedName>
    <definedName name="_Ref10721048" localSheetId="3">'Programme Characteristics'!$E$26</definedName>
    <definedName name="_Ref10725977" localSheetId="3">'Programme Characteristics'!#REF!</definedName>
    <definedName name="_Ref8906408" localSheetId="3">'Programme Characteristics'!$E$34</definedName>
    <definedName name="_Toc244570802" localSheetId="0">'Reimbursement Request'!#REF!</definedName>
    <definedName name="_xlnm.Print_Area" localSheetId="1">'Financial Progress'!$A$2:$BP$50</definedName>
    <definedName name="_xlnm.Print_Area" localSheetId="4">'Procurement plan'!$A$1:$S$19</definedName>
    <definedName name="_xlnm.Print_Area" localSheetId="3">'Programme Characteristics'!$A$3:$V$13</definedName>
    <definedName name="_xlnm.Print_Area" localSheetId="0">'Reimbursement Request'!$A$1:$I$75</definedName>
    <definedName name="Z_18716E43_88F1_44DC_AE73_ADDC61118D9F_.wvu.Cols" localSheetId="1" hidden="1">'Financial Progress'!$BL:$BL,'Financial Progress'!#REF!</definedName>
    <definedName name="Z_18716E43_88F1_44DC_AE73_ADDC61118D9F_.wvu.Cols" localSheetId="0" hidden="1">'Reimbursement Request'!$F:$I</definedName>
    <definedName name="Z_18716E43_88F1_44DC_AE73_ADDC61118D9F_.wvu.Rows" localSheetId="0" hidden="1">'Reimbursement Request'!#REF!,'Reimbursement Request'!$28:$44</definedName>
  </definedNames>
  <calcPr calcId="191028"/>
  <customWorkbookViews>
    <customWorkbookView name="taisiv - Personal View" guid="{18716E43-88F1-44DC-AE73-ADDC61118D9F}" mergeInterval="0" personalView="1" maximized="1" xWindow="1" yWindow="1" windowWidth="1280" windowHeight="791"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25" i="3" l="1"/>
  <c r="BL25" i="3"/>
  <c r="BJ26" i="3"/>
  <c r="M19" i="12"/>
  <c r="N37" i="3"/>
  <c r="N35" i="3" s="1"/>
  <c r="N31" i="3"/>
  <c r="N29" i="3" s="1"/>
  <c r="N28" i="3"/>
  <c r="N24" i="3" s="1"/>
  <c r="N18" i="3"/>
  <c r="N16" i="3" s="1"/>
  <c r="N11" i="3"/>
  <c r="BL26" i="3" l="1"/>
  <c r="N12" i="3"/>
  <c r="N10" i="3" s="1"/>
  <c r="M12" i="12"/>
  <c r="BR39" i="3" l="1"/>
  <c r="BQ39" i="3"/>
  <c r="BS39" i="3" l="1"/>
  <c r="J9" i="3" l="1"/>
  <c r="J29" i="3" l="1"/>
  <c r="J37" i="3"/>
  <c r="J35" i="3" s="1"/>
  <c r="J28" i="3"/>
  <c r="J24" i="3" s="1"/>
  <c r="J18" i="3"/>
  <c r="J16" i="3" l="1"/>
  <c r="M16" i="3" s="1"/>
  <c r="J11" i="3"/>
  <c r="J10" i="3" s="1"/>
  <c r="M10" i="3" s="1"/>
  <c r="O15" i="12" l="1"/>
  <c r="O16" i="12"/>
  <c r="O17" i="12"/>
  <c r="O14" i="12"/>
  <c r="M14" i="12"/>
  <c r="M15" i="12"/>
  <c r="M16" i="12"/>
  <c r="M17" i="12"/>
  <c r="O11" i="12"/>
  <c r="A25" i="17"/>
  <c r="B10" i="21"/>
  <c r="F9" i="3"/>
  <c r="C10" i="3" l="1"/>
  <c r="M10" i="12" l="1"/>
  <c r="M11" i="12"/>
  <c r="M18" i="12"/>
  <c r="M9" i="12"/>
  <c r="F29" i="3" l="1"/>
  <c r="F16" i="3"/>
  <c r="F28" i="3"/>
  <c r="F37" i="3"/>
  <c r="F35" i="3" s="1"/>
  <c r="F11" i="3"/>
  <c r="F10" i="3" s="1"/>
  <c r="G10" i="3" l="1"/>
  <c r="I10" i="3"/>
  <c r="F24" i="3"/>
  <c r="A20" i="20"/>
  <c r="A19" i="20"/>
  <c r="A18" i="20"/>
  <c r="A17" i="20"/>
  <c r="A16" i="20"/>
  <c r="BJ19" i="3" l="1"/>
  <c r="BJ21" i="3"/>
  <c r="BJ22" i="3"/>
  <c r="BJ20" i="3"/>
  <c r="A41" i="17"/>
  <c r="A34" i="17"/>
  <c r="BK20" i="3" l="1"/>
  <c r="BK21" i="3"/>
  <c r="BL22" i="3"/>
  <c r="BK22" i="3"/>
  <c r="BL21" i="3"/>
  <c r="BL20" i="3"/>
  <c r="C35" i="3" l="1"/>
  <c r="C29" i="3"/>
  <c r="A15" i="17"/>
  <c r="F10" i="2" l="1"/>
  <c r="C10" i="2"/>
  <c r="BF35" i="3"/>
  <c r="BF29" i="3"/>
  <c r="BF24" i="3"/>
  <c r="BF16" i="3"/>
  <c r="BF10" i="3"/>
  <c r="BB35" i="3"/>
  <c r="BB29" i="3"/>
  <c r="BB24" i="3"/>
  <c r="BB16" i="3"/>
  <c r="BB10" i="3"/>
  <c r="AX35" i="3"/>
  <c r="AX29" i="3"/>
  <c r="AX24" i="3"/>
  <c r="AX16" i="3"/>
  <c r="AX10" i="3"/>
  <c r="AT35" i="3"/>
  <c r="AT29" i="3"/>
  <c r="AT24" i="3"/>
  <c r="AT16" i="3"/>
  <c r="AT10" i="3"/>
  <c r="AP35" i="3"/>
  <c r="AP29" i="3"/>
  <c r="AP24" i="3"/>
  <c r="AP16" i="3"/>
  <c r="AP10" i="3"/>
  <c r="AL35" i="3"/>
  <c r="AL29" i="3"/>
  <c r="AL24" i="3"/>
  <c r="AL16" i="3"/>
  <c r="AL10" i="3"/>
  <c r="AH35" i="3"/>
  <c r="AH29" i="3"/>
  <c r="AH24" i="3"/>
  <c r="AH16" i="3"/>
  <c r="AH10" i="3"/>
  <c r="AD35" i="3"/>
  <c r="AD29" i="3"/>
  <c r="AD24" i="3"/>
  <c r="AD16" i="3"/>
  <c r="AD10" i="3"/>
  <c r="Z35" i="3"/>
  <c r="Z29" i="3"/>
  <c r="Z24" i="3"/>
  <c r="Z16" i="3"/>
  <c r="Z10" i="3"/>
  <c r="V35" i="3"/>
  <c r="V29" i="3"/>
  <c r="V24" i="3"/>
  <c r="V16" i="3"/>
  <c r="V10" i="3"/>
  <c r="R35" i="3"/>
  <c r="R29" i="3"/>
  <c r="R24" i="3"/>
  <c r="R16" i="3"/>
  <c r="R10" i="3"/>
  <c r="N39" i="3"/>
  <c r="A6" i="17"/>
  <c r="C16" i="3"/>
  <c r="B9" i="3"/>
  <c r="J39" i="3" l="1"/>
  <c r="E35" i="3"/>
  <c r="M35" i="3"/>
  <c r="O35" i="3"/>
  <c r="U35" i="3"/>
  <c r="W35" i="3"/>
  <c r="AC35" i="3"/>
  <c r="AE35" i="3"/>
  <c r="AK35" i="3"/>
  <c r="AM35" i="3"/>
  <c r="AS35" i="3"/>
  <c r="AU35" i="3"/>
  <c r="BA35" i="3"/>
  <c r="BC35" i="3"/>
  <c r="BI35" i="3"/>
  <c r="BJ36" i="3"/>
  <c r="BJ37" i="3"/>
  <c r="BJ38" i="3"/>
  <c r="E29" i="3"/>
  <c r="C24" i="3"/>
  <c r="E16" i="3"/>
  <c r="E10" i="3"/>
  <c r="C15" i="2"/>
  <c r="BJ31" i="3"/>
  <c r="BJ18" i="3"/>
  <c r="BL38" i="3" l="1"/>
  <c r="BK18" i="3"/>
  <c r="C9" i="21"/>
  <c r="C10" i="21"/>
  <c r="BK37" i="3"/>
  <c r="BK36" i="3"/>
  <c r="BL31" i="3"/>
  <c r="E24" i="3"/>
  <c r="C39" i="3"/>
  <c r="BG35" i="3"/>
  <c r="BH35" i="3" s="1"/>
  <c r="BL36" i="3"/>
  <c r="AQ35" i="3"/>
  <c r="AR35" i="3" s="1"/>
  <c r="AI35" i="3"/>
  <c r="AJ35" i="3" s="1"/>
  <c r="K35" i="3"/>
  <c r="L35" i="3" s="1"/>
  <c r="BK38" i="3"/>
  <c r="AY35" i="3"/>
  <c r="AZ35" i="3" s="1"/>
  <c r="AA35" i="3"/>
  <c r="AB35" i="3" s="1"/>
  <c r="S35" i="3"/>
  <c r="T35" i="3" s="1"/>
  <c r="BL37" i="3"/>
  <c r="BE35" i="3"/>
  <c r="BD35" i="3" s="1"/>
  <c r="AW35" i="3"/>
  <c r="AV35" i="3" s="1"/>
  <c r="AO35" i="3"/>
  <c r="AN35" i="3" s="1"/>
  <c r="AG35" i="3"/>
  <c r="AF35" i="3" s="1"/>
  <c r="Y35" i="3"/>
  <c r="X35" i="3" s="1"/>
  <c r="Q35" i="3"/>
  <c r="BJ35" i="3"/>
  <c r="BK31" i="3"/>
  <c r="BL18" i="3"/>
  <c r="BK26" i="3"/>
  <c r="BJ34" i="3"/>
  <c r="BJ33" i="3"/>
  <c r="BJ32" i="3"/>
  <c r="BJ30" i="3"/>
  <c r="BJ28" i="3"/>
  <c r="BJ27" i="3"/>
  <c r="BK25" i="3"/>
  <c r="BJ23" i="3"/>
  <c r="BK19" i="3"/>
  <c r="BJ17" i="3"/>
  <c r="BI29" i="3"/>
  <c r="BG24" i="3"/>
  <c r="BI16" i="3"/>
  <c r="BG10" i="3"/>
  <c r="BC29" i="3"/>
  <c r="BE24" i="3"/>
  <c r="BC16" i="3"/>
  <c r="BC10" i="3"/>
  <c r="BA29" i="3"/>
  <c r="AY24" i="3"/>
  <c r="BA16" i="3"/>
  <c r="BA10" i="3"/>
  <c r="AU29" i="3"/>
  <c r="AW24" i="3"/>
  <c r="AW10" i="3"/>
  <c r="AS29" i="3"/>
  <c r="AS24" i="3"/>
  <c r="AS16" i="3"/>
  <c r="AS10" i="3"/>
  <c r="AM29" i="3"/>
  <c r="AO24" i="3"/>
  <c r="AM16" i="3"/>
  <c r="AO10" i="3"/>
  <c r="AI29" i="3"/>
  <c r="AK24" i="3"/>
  <c r="AI16" i="3"/>
  <c r="AK10" i="3"/>
  <c r="AG29" i="3"/>
  <c r="AG24" i="3"/>
  <c r="AE16" i="3"/>
  <c r="AG10" i="3"/>
  <c r="AC29" i="3"/>
  <c r="AC24" i="3"/>
  <c r="AC16" i="3"/>
  <c r="AC10" i="3"/>
  <c r="Y29" i="3"/>
  <c r="W24" i="3"/>
  <c r="W16" i="3"/>
  <c r="Y10" i="3"/>
  <c r="U29" i="3"/>
  <c r="U24" i="3"/>
  <c r="U16" i="3"/>
  <c r="U10" i="3"/>
  <c r="O29" i="3"/>
  <c r="Q24" i="3"/>
  <c r="C18" i="20" s="1"/>
  <c r="O16" i="3"/>
  <c r="O10" i="3"/>
  <c r="K29" i="3"/>
  <c r="K16" i="3"/>
  <c r="AA16" i="3"/>
  <c r="C7" i="3"/>
  <c r="AX7" i="3" s="1"/>
  <c r="E20" i="2"/>
  <c r="B11" i="21"/>
  <c r="B12" i="21"/>
  <c r="B13" i="21"/>
  <c r="E19" i="2"/>
  <c r="E21" i="2"/>
  <c r="E18" i="2"/>
  <c r="I24" i="3"/>
  <c r="G29" i="3"/>
  <c r="I16" i="3"/>
  <c r="A3" i="2"/>
  <c r="A2" i="2"/>
  <c r="A1" i="21"/>
  <c r="C7" i="20"/>
  <c r="A1" i="12"/>
  <c r="A1" i="3"/>
  <c r="A1" i="17"/>
  <c r="B24" i="2"/>
  <c r="BL23" i="3" l="1"/>
  <c r="BL27" i="3"/>
  <c r="BJ24" i="3"/>
  <c r="BL28" i="3"/>
  <c r="BL30" i="3"/>
  <c r="BL33" i="3"/>
  <c r="BK35" i="3"/>
  <c r="P35" i="3"/>
  <c r="C20" i="20"/>
  <c r="BK32" i="3"/>
  <c r="E39" i="3"/>
  <c r="BL34" i="3"/>
  <c r="A2" i="21"/>
  <c r="BL35" i="3"/>
  <c r="AA10" i="3"/>
  <c r="AB10" i="3" s="1"/>
  <c r="AY16" i="3"/>
  <c r="AZ16" i="3" s="1"/>
  <c r="AK16" i="3"/>
  <c r="AJ16" i="3" s="1"/>
  <c r="BE10" i="3"/>
  <c r="BD10" i="3" s="1"/>
  <c r="AO16" i="3"/>
  <c r="AN16" i="3" s="1"/>
  <c r="AQ29" i="3"/>
  <c r="AR29" i="3" s="1"/>
  <c r="AE10" i="3"/>
  <c r="AF10" i="3" s="1"/>
  <c r="BG29" i="3"/>
  <c r="BH29" i="3" s="1"/>
  <c r="AQ16" i="3"/>
  <c r="AR16" i="3" s="1"/>
  <c r="AI10" i="3"/>
  <c r="AJ10" i="3" s="1"/>
  <c r="AU10" i="3"/>
  <c r="AV10" i="3" s="1"/>
  <c r="AE29" i="3"/>
  <c r="AF29" i="3" s="1"/>
  <c r="W10" i="3"/>
  <c r="X10" i="3" s="1"/>
  <c r="AY10" i="3"/>
  <c r="AZ10" i="3" s="1"/>
  <c r="Y16" i="3"/>
  <c r="X16" i="3" s="1"/>
  <c r="S10" i="3"/>
  <c r="T10" i="3" s="1"/>
  <c r="Q10" i="3"/>
  <c r="AM10" i="3"/>
  <c r="AN10" i="3" s="1"/>
  <c r="AY29" i="3"/>
  <c r="AZ29" i="3" s="1"/>
  <c r="AG16" i="3"/>
  <c r="AF16" i="3" s="1"/>
  <c r="BI24" i="3"/>
  <c r="BH24" i="3" s="1"/>
  <c r="BI10" i="3"/>
  <c r="AU24" i="3"/>
  <c r="AV24" i="3" s="1"/>
  <c r="BC24" i="3"/>
  <c r="BD24" i="3" s="1"/>
  <c r="BK28" i="3"/>
  <c r="AE24" i="3"/>
  <c r="AF24" i="3" s="1"/>
  <c r="Q29" i="3"/>
  <c r="AA29" i="3"/>
  <c r="AB29" i="3" s="1"/>
  <c r="S29" i="3"/>
  <c r="T29" i="3" s="1"/>
  <c r="AI24" i="3"/>
  <c r="AJ24" i="3" s="1"/>
  <c r="W29" i="3"/>
  <c r="X29" i="3" s="1"/>
  <c r="AQ24" i="3"/>
  <c r="AR24" i="3" s="1"/>
  <c r="AM24" i="3"/>
  <c r="AN24" i="3" s="1"/>
  <c r="AC39" i="3"/>
  <c r="AK29" i="3"/>
  <c r="AJ29" i="3" s="1"/>
  <c r="O24" i="3"/>
  <c r="P24" i="3" s="1"/>
  <c r="AQ10" i="3"/>
  <c r="AR10" i="3" s="1"/>
  <c r="BG16" i="3"/>
  <c r="BH16" i="3" s="1"/>
  <c r="C13" i="21"/>
  <c r="I29" i="3"/>
  <c r="M29" i="3"/>
  <c r="BK27" i="3"/>
  <c r="AB16" i="3"/>
  <c r="BA24" i="3"/>
  <c r="AZ24" i="3" s="1"/>
  <c r="AA24" i="3"/>
  <c r="AB24" i="3" s="1"/>
  <c r="S24" i="3"/>
  <c r="T24" i="3" s="1"/>
  <c r="A2" i="3"/>
  <c r="A2" i="12"/>
  <c r="A2" i="17"/>
  <c r="K10" i="3"/>
  <c r="AT39" i="3"/>
  <c r="R7" i="3"/>
  <c r="AD39" i="3"/>
  <c r="AP39" i="3"/>
  <c r="AD7" i="3"/>
  <c r="Z39" i="3"/>
  <c r="BF39" i="3"/>
  <c r="BL24" i="3"/>
  <c r="F7" i="3"/>
  <c r="AP7" i="3"/>
  <c r="BK23" i="3"/>
  <c r="BJ7" i="3"/>
  <c r="N7" i="3"/>
  <c r="BF7" i="3"/>
  <c r="AT7" i="3"/>
  <c r="AL7" i="3"/>
  <c r="C11" i="21"/>
  <c r="AO29" i="3"/>
  <c r="AN29" i="3" s="1"/>
  <c r="BE29" i="3"/>
  <c r="BD29" i="3" s="1"/>
  <c r="BK33" i="3"/>
  <c r="BB39" i="3"/>
  <c r="AL39" i="3"/>
  <c r="AW29" i="3"/>
  <c r="AV29" i="3" s="1"/>
  <c r="BJ29" i="3"/>
  <c r="BK34" i="3"/>
  <c r="R39" i="3"/>
  <c r="Q16" i="3"/>
  <c r="AW16" i="3"/>
  <c r="BJ16" i="3"/>
  <c r="BL32" i="3"/>
  <c r="J7" i="3"/>
  <c r="BB7" i="3"/>
  <c r="AU16" i="3"/>
  <c r="BE16" i="3"/>
  <c r="BD16" i="3" s="1"/>
  <c r="G16" i="3"/>
  <c r="Z7" i="3"/>
  <c r="AH39" i="3"/>
  <c r="V39" i="3"/>
  <c r="B12" i="2"/>
  <c r="S16" i="3"/>
  <c r="K24" i="3"/>
  <c r="M24" i="3"/>
  <c r="BL17" i="3"/>
  <c r="BL19" i="3"/>
  <c r="BK30" i="3"/>
  <c r="AH7" i="3"/>
  <c r="V7" i="3"/>
  <c r="AX39" i="3"/>
  <c r="BK17" i="3"/>
  <c r="Y24" i="3"/>
  <c r="X24" i="3" s="1"/>
  <c r="G24" i="3"/>
  <c r="C12" i="21"/>
  <c r="AS39" i="3"/>
  <c r="P16" i="3" l="1"/>
  <c r="C17" i="20"/>
  <c r="C16" i="20"/>
  <c r="P29" i="3"/>
  <c r="C19" i="20"/>
  <c r="BK29" i="3"/>
  <c r="P10" i="3"/>
  <c r="P39" i="3" s="1"/>
  <c r="Q39" i="3"/>
  <c r="C14" i="20" s="1"/>
  <c r="O39" i="3"/>
  <c r="L29" i="3"/>
  <c r="L10" i="3"/>
  <c r="K39" i="3"/>
  <c r="L16" i="3"/>
  <c r="M39" i="3"/>
  <c r="BL16" i="3"/>
  <c r="H29" i="3"/>
  <c r="D14" i="2"/>
  <c r="BM29" i="3"/>
  <c r="BM24" i="3"/>
  <c r="H16" i="3"/>
  <c r="BM16" i="3"/>
  <c r="D39" i="3"/>
  <c r="AB39" i="3"/>
  <c r="BA39" i="3"/>
  <c r="BI39" i="3"/>
  <c r="BH10" i="3"/>
  <c r="BH39" i="3" s="1"/>
  <c r="AW39" i="3"/>
  <c r="AG39" i="3"/>
  <c r="AK39" i="3"/>
  <c r="W39" i="3"/>
  <c r="U39" i="3"/>
  <c r="BN24" i="3"/>
  <c r="BP24" i="3" s="1"/>
  <c r="Y39" i="3"/>
  <c r="AM39" i="3"/>
  <c r="BC39" i="3"/>
  <c r="AY39" i="3"/>
  <c r="AZ39" i="3"/>
  <c r="AR39" i="3"/>
  <c r="AO39" i="3"/>
  <c r="AA39" i="3"/>
  <c r="BG39" i="3"/>
  <c r="AN39" i="3"/>
  <c r="BN16" i="3"/>
  <c r="BP16" i="3" s="1"/>
  <c r="AI39" i="3"/>
  <c r="BL29" i="3"/>
  <c r="AE39" i="3"/>
  <c r="AF39" i="3"/>
  <c r="BK24" i="3"/>
  <c r="X39" i="3"/>
  <c r="AQ39" i="3"/>
  <c r="BD39" i="3"/>
  <c r="BE39" i="3"/>
  <c r="BN29" i="3"/>
  <c r="BK16" i="3"/>
  <c r="AV16" i="3"/>
  <c r="AV39" i="3" s="1"/>
  <c r="AU39" i="3"/>
  <c r="S39" i="3"/>
  <c r="T16" i="3"/>
  <c r="T39" i="3" s="1"/>
  <c r="H24" i="3"/>
  <c r="L24" i="3"/>
  <c r="L39" i="3" l="1"/>
  <c r="BO24" i="3"/>
  <c r="AJ39" i="3"/>
  <c r="BO16" i="3"/>
  <c r="BO29" i="3"/>
  <c r="BP29" i="3"/>
  <c r="F39" i="3" l="1"/>
  <c r="BJ14" i="3"/>
  <c r="BK14" i="3" s="1"/>
  <c r="BJ12" i="3"/>
  <c r="BL12" i="3" s="1"/>
  <c r="BJ15" i="3"/>
  <c r="BL15" i="3" s="1"/>
  <c r="BJ13" i="3"/>
  <c r="BL13" i="3" s="1"/>
  <c r="BJ11" i="3"/>
  <c r="BK15" i="3" l="1"/>
  <c r="BK13" i="3"/>
  <c r="BJ10" i="3"/>
  <c r="BK11" i="3"/>
  <c r="BL14" i="3"/>
  <c r="BK12" i="3"/>
  <c r="BL11" i="3"/>
  <c r="BM10" i="3" l="1"/>
  <c r="BL10" i="3"/>
  <c r="BJ39" i="3"/>
  <c r="BK10" i="3"/>
  <c r="BN10" i="3"/>
  <c r="H10" i="3"/>
  <c r="BK39" i="3" l="1"/>
  <c r="BL39" i="3"/>
  <c r="BO10" i="3"/>
  <c r="BP10" i="3"/>
  <c r="B18" i="2"/>
  <c r="G35" i="3"/>
  <c r="G39" i="3" s="1"/>
  <c r="I35" i="3"/>
  <c r="BN35" i="3" l="1"/>
  <c r="BO35" i="3" s="1"/>
  <c r="I39" i="3"/>
  <c r="F18" i="2"/>
  <c r="BM35" i="3"/>
  <c r="BM39" i="3" s="1"/>
  <c r="H35" i="3"/>
  <c r="B25" i="2" l="1"/>
  <c r="F21" i="2"/>
  <c r="B27" i="2" s="1"/>
  <c r="H39" i="3"/>
  <c r="F19" i="2" s="1"/>
  <c r="B19" i="2" s="1"/>
  <c r="B21" i="2" s="1"/>
  <c r="BP35" i="3"/>
  <c r="BN39" i="3"/>
  <c r="I14" i="2" s="1"/>
  <c r="B26" i="2" l="1"/>
  <c r="F26" i="2" s="1"/>
  <c r="F25" i="2"/>
  <c r="BO39" i="3"/>
  <c r="BP39" i="3"/>
  <c r="F27" i="2"/>
  <c r="B28" i="2" l="1"/>
  <c r="F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30855672-1584-4023-88D7-C03A1C3A0EC3}">
      <text>
        <r>
          <rPr>
            <sz val="9"/>
            <color indexed="81"/>
            <rFont val="Tahoma"/>
            <family val="2"/>
          </rPr>
          <t xml:space="preserve">
- Please fill out first the green fields in this sheet "Reimbursement Request" and only afterwards continue with the "Financial Progress" sheet and the other sheets
- Indicate the number of the Reimbursement Request to get the data from the respective Reporting Period in the "Financial Progress" Sheet
- In case of the last reimbursement request to be submitted to Switzerland, change the title to "Final Reimbursement Request"
- Please note the comments with further instructions indicated by the red triangle in the cells
- The sheet is protected without a password, to avoid unintentional deletion of a formula. You can press "unprotect sheet" to edit protected cells. 
- When submitting the Reimbursement Request to Switzerland, please send the signed version (e.g. PDF) as well as the Excel file.  
</t>
        </r>
        <r>
          <rPr>
            <i/>
            <sz val="9"/>
            <color indexed="81"/>
            <rFont val="Tahoma"/>
            <family val="2"/>
          </rPr>
          <t xml:space="preserve">This sheet contains formulas to facilitate the preparation of the Reimbursement Request. It remains the responsibility of the Paying Authority to verify the correct calculations </t>
        </r>
      </text>
    </comment>
    <comment ref="A10" authorId="0" shapeId="0" xr:uid="{5ED66AD4-C691-4E10-ABC3-74473C4A33A9}">
      <text>
        <r>
          <rPr>
            <sz val="9"/>
            <color indexed="81"/>
            <rFont val="Tahoma"/>
            <family val="2"/>
          </rPr>
          <t>please enter start and end date in the sheet "Financial Progress" in the respective column of the Reporting Period</t>
        </r>
      </text>
    </comment>
    <comment ref="A11" authorId="0" shapeId="0" xr:uid="{840D9410-15F1-4650-BFB7-0A8DD757D984}">
      <text>
        <r>
          <rPr>
            <sz val="9"/>
            <color indexed="81"/>
            <rFont val="Tahoma"/>
            <family val="2"/>
          </rPr>
          <t>Select a number between 1-14. According to your selection, the data from respective columns in the sheet "financial progress" Reporting Period will be gathered.</t>
        </r>
      </text>
    </comment>
    <comment ref="A13" authorId="0" shapeId="0" xr:uid="{00000000-0006-0000-0100-000002000000}">
      <text>
        <r>
          <rPr>
            <sz val="9"/>
            <color indexed="81"/>
            <rFont val="Tahoma"/>
            <family val="2"/>
          </rPr>
          <t>Please insert the amount as fixed in the Support Measure Agreement (Art 3 in SMA Template)</t>
        </r>
      </text>
    </comment>
    <comment ref="A15" authorId="0" shapeId="0" xr:uid="{00000000-0006-0000-0100-000004000000}">
      <text>
        <r>
          <rPr>
            <sz val="9"/>
            <color indexed="81"/>
            <rFont val="Tahoma"/>
            <family val="2"/>
          </rPr>
          <t xml:space="preserve">1 CHF = amount in local currency
This is the exchange rate from the sheet "Financial Progress" from the selected Reimbursement Request Number. The rate is defined by the Paying Authority according to Regulations Art 8.4 (i.e exchange rate of Partner State’s national bank effective on the last working day of the reimbursement period.)
</t>
        </r>
      </text>
    </comment>
    <comment ref="B18" authorId="0" shapeId="0" xr:uid="{00000000-0006-0000-0100-000005000000}">
      <text>
        <r>
          <rPr>
            <sz val="9"/>
            <color indexed="81"/>
            <rFont val="Tahoma"/>
            <family val="2"/>
          </rPr>
          <t xml:space="preserve">Value from sheet "Financial Progress". Ensure that the correct Reimbursement Request No is selected above. </t>
        </r>
      </text>
    </comment>
    <comment ref="A20" authorId="0" shapeId="0" xr:uid="{00000000-0006-0000-0100-000006000000}">
      <text>
        <r>
          <rPr>
            <sz val="9"/>
            <color indexed="81"/>
            <rFont val="Tahoma"/>
            <family val="2"/>
          </rPr>
          <t>The deducted amount of the financial correction in CHF should be calculated using the exchange rate applicable to the relevant Reimbursement Request to which the correction is linked. If the amount related to the irregularity was not included in any Reimbursement Request, the relevant exchange rate used in the Irregularity Report (immediate or regular) should be used.
The total amount of deductions shall be entered here manually and further explained in the sheet "financial progress" "Information on deductions related to financial corrections (Art 11.4/3 Regulations)"</t>
        </r>
      </text>
    </comment>
    <comment ref="A31" authorId="1" shapeId="0" xr:uid="{00000000-0006-0000-0100-000007000000}">
      <text>
        <r>
          <rPr>
            <sz val="9"/>
            <color indexed="81"/>
            <rFont val="Arial"/>
            <family val="2"/>
          </rPr>
          <t>As the institutional set-up is country-specific, each partner state may adapt the certifications as appropriate in their specific institutional context and in line with the Regulations (namely Article 8.2).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D188E6A6-9379-4037-81FC-55C43B27807B}">
      <text>
        <r>
          <rPr>
            <sz val="9"/>
            <color indexed="81"/>
            <rFont val="Arial"/>
            <family val="2"/>
          </rPr>
          <t xml:space="preserve">- Please fill out first the green fields in this sheet "Reimbursement Request" and only afterwards continue with the "Financial Progress" sheet and the other sheets
- Up to 14 Reimbursement Requests reporting periods are integrated in this sheet. Select the No in the "Reimbursement Request" sheet and use hide/unhide function to show the needed columns. 
- Dark grey cells can be left empty, green cells can be filled out.
- Please note the comments with further instructions indicated by the red triangle in the cells
- The sheet is protected without a password, to avoid unintentional deletion of a formula. 
</t>
        </r>
        <r>
          <rPr>
            <i/>
            <sz val="9"/>
            <color indexed="81"/>
            <rFont val="Arial"/>
            <family val="2"/>
          </rPr>
          <t>This sheet contains formulas to facilitate the preparation of the Reimbursement Request. It remains the responsibility of the Paying Authority to verify the correct calculations.</t>
        </r>
      </text>
    </comment>
    <comment ref="H6" authorId="0" shapeId="0" xr:uid="{34B61E24-7641-4C25-8BF1-EE9AEADE06C2}">
      <text>
        <r>
          <rPr>
            <sz val="9"/>
            <color indexed="81"/>
            <rFont val="Tahoma"/>
            <family val="2"/>
          </rPr>
          <t>insert start date of reporting period</t>
        </r>
      </text>
    </comment>
    <comment ref="I6" authorId="0" shapeId="0" xr:uid="{47DE0E83-7AB8-42C1-801C-08EA03A86E9F}">
      <text>
        <r>
          <rPr>
            <sz val="9"/>
            <color indexed="81"/>
            <rFont val="Tahoma"/>
            <family val="2"/>
          </rPr>
          <t>insert end date of reporting period</t>
        </r>
      </text>
    </comment>
    <comment ref="L6" authorId="0" shapeId="0" xr:uid="{00C7A187-7858-44AE-9E27-88D0F8C77090}">
      <text>
        <r>
          <rPr>
            <sz val="9"/>
            <color indexed="81"/>
            <rFont val="Tahoma"/>
            <family val="2"/>
          </rPr>
          <t>insert start date of reporting period</t>
        </r>
      </text>
    </comment>
    <comment ref="M6" authorId="0" shapeId="0" xr:uid="{45C88C62-DF1D-46EF-928F-8D677F2D68E1}">
      <text>
        <r>
          <rPr>
            <sz val="9"/>
            <color indexed="81"/>
            <rFont val="Tahoma"/>
            <family val="2"/>
          </rPr>
          <t>insert end date of reporting period</t>
        </r>
      </text>
    </comment>
    <comment ref="P6" authorId="0" shapeId="0" xr:uid="{E46E228F-4102-428B-8F61-CC409A775C0A}">
      <text>
        <r>
          <rPr>
            <sz val="9"/>
            <color indexed="81"/>
            <rFont val="Tahoma"/>
            <family val="2"/>
          </rPr>
          <t>insert start date of reporting period</t>
        </r>
      </text>
    </comment>
    <comment ref="Q6" authorId="0" shapeId="0" xr:uid="{76AF67B5-2386-4034-A786-6483C51EE853}">
      <text>
        <r>
          <rPr>
            <sz val="9"/>
            <color indexed="81"/>
            <rFont val="Tahoma"/>
            <family val="2"/>
          </rPr>
          <t>insert end date of reporting period</t>
        </r>
      </text>
    </comment>
    <comment ref="T6" authorId="0" shapeId="0" xr:uid="{D43A4FC6-B1F9-4B1E-90BE-95E9760D6E35}">
      <text>
        <r>
          <rPr>
            <sz val="9"/>
            <color indexed="81"/>
            <rFont val="Tahoma"/>
            <family val="2"/>
          </rPr>
          <t>insert start date of reporting period</t>
        </r>
      </text>
    </comment>
    <comment ref="U6" authorId="0" shapeId="0" xr:uid="{2A2B388A-CE44-49E6-8648-C4F8FCADEE81}">
      <text>
        <r>
          <rPr>
            <sz val="9"/>
            <color indexed="81"/>
            <rFont val="Tahoma"/>
            <family val="2"/>
          </rPr>
          <t>insert end date of reporting period</t>
        </r>
      </text>
    </comment>
    <comment ref="X6" authorId="0" shapeId="0" xr:uid="{2FDA57BB-EE80-49AA-A8AD-C9130183C228}">
      <text>
        <r>
          <rPr>
            <sz val="9"/>
            <color indexed="81"/>
            <rFont val="Tahoma"/>
            <family val="2"/>
          </rPr>
          <t>insert start date of reporting period</t>
        </r>
      </text>
    </comment>
    <comment ref="Y6" authorId="0" shapeId="0" xr:uid="{EF1C9C03-82EE-462E-9A33-6A68380BC295}">
      <text>
        <r>
          <rPr>
            <sz val="9"/>
            <color indexed="81"/>
            <rFont val="Tahoma"/>
            <family val="2"/>
          </rPr>
          <t>insert end date of reporting period</t>
        </r>
      </text>
    </comment>
    <comment ref="AB6" authorId="0" shapeId="0" xr:uid="{07810FB3-0114-49C8-9AA2-6CF2BE821249}">
      <text>
        <r>
          <rPr>
            <sz val="9"/>
            <color indexed="81"/>
            <rFont val="Tahoma"/>
            <family val="2"/>
          </rPr>
          <t>insert start date of reporting period</t>
        </r>
      </text>
    </comment>
    <comment ref="AC6" authorId="0" shapeId="0" xr:uid="{6712074E-1765-47B2-8487-525459C5E48A}">
      <text>
        <r>
          <rPr>
            <sz val="9"/>
            <color indexed="81"/>
            <rFont val="Tahoma"/>
            <family val="2"/>
          </rPr>
          <t>insert end date of reporting period</t>
        </r>
      </text>
    </comment>
    <comment ref="AF6" authorId="0" shapeId="0" xr:uid="{456327A5-EB88-429E-B8AC-44E4D18E6089}">
      <text>
        <r>
          <rPr>
            <sz val="9"/>
            <color indexed="81"/>
            <rFont val="Tahoma"/>
            <family val="2"/>
          </rPr>
          <t>insert start date of reporting period</t>
        </r>
      </text>
    </comment>
    <comment ref="AG6" authorId="0" shapeId="0" xr:uid="{91570249-6537-4F95-8FDE-7EC8E2FB8E83}">
      <text>
        <r>
          <rPr>
            <sz val="9"/>
            <color indexed="81"/>
            <rFont val="Tahoma"/>
            <family val="2"/>
          </rPr>
          <t>insert end date of reporting period</t>
        </r>
      </text>
    </comment>
    <comment ref="AJ6" authorId="0" shapeId="0" xr:uid="{67F7B22E-FB77-4345-9F0D-0DAD5357943A}">
      <text>
        <r>
          <rPr>
            <sz val="9"/>
            <color indexed="81"/>
            <rFont val="Tahoma"/>
            <family val="2"/>
          </rPr>
          <t>insert start date of reporting period</t>
        </r>
      </text>
    </comment>
    <comment ref="AK6" authorId="0" shapeId="0" xr:uid="{3000DDEA-DE92-41EC-8F43-A627543A85F9}">
      <text>
        <r>
          <rPr>
            <sz val="9"/>
            <color indexed="81"/>
            <rFont val="Tahoma"/>
            <family val="2"/>
          </rPr>
          <t>insert end date of reporting period</t>
        </r>
      </text>
    </comment>
    <comment ref="AN6" authorId="0" shapeId="0" xr:uid="{0CBB9B25-7ED6-4B62-9EB5-24B43B3EE770}">
      <text>
        <r>
          <rPr>
            <sz val="9"/>
            <color indexed="81"/>
            <rFont val="Tahoma"/>
            <family val="2"/>
          </rPr>
          <t>insert start date of reporting period</t>
        </r>
      </text>
    </comment>
    <comment ref="AO6" authorId="0" shapeId="0" xr:uid="{F068E6FC-CDA8-4A69-BC8C-3A58740FA0A4}">
      <text>
        <r>
          <rPr>
            <sz val="9"/>
            <color indexed="81"/>
            <rFont val="Tahoma"/>
            <family val="2"/>
          </rPr>
          <t>insert end date of reporting period</t>
        </r>
      </text>
    </comment>
    <comment ref="AR6" authorId="0" shapeId="0" xr:uid="{7BC438A2-0E0C-4CFC-BDA1-D2B15F285741}">
      <text>
        <r>
          <rPr>
            <sz val="9"/>
            <color indexed="81"/>
            <rFont val="Tahoma"/>
            <family val="2"/>
          </rPr>
          <t>insert start date of reporting period</t>
        </r>
      </text>
    </comment>
    <comment ref="AS6" authorId="0" shapeId="0" xr:uid="{0BB330B3-0044-4D44-8097-269D5FB8DB2A}">
      <text>
        <r>
          <rPr>
            <sz val="9"/>
            <color indexed="81"/>
            <rFont val="Tahoma"/>
            <family val="2"/>
          </rPr>
          <t>insert end date of reporting period</t>
        </r>
      </text>
    </comment>
    <comment ref="AV6" authorId="0" shapeId="0" xr:uid="{7D785699-BC70-4FE2-9592-56B6CAA25A2B}">
      <text>
        <r>
          <rPr>
            <sz val="9"/>
            <color indexed="81"/>
            <rFont val="Tahoma"/>
            <family val="2"/>
          </rPr>
          <t>insert start date of reporting period</t>
        </r>
      </text>
    </comment>
    <comment ref="AW6" authorId="0" shapeId="0" xr:uid="{F1E435BA-D1C9-46DE-B460-1A71CD68EF8F}">
      <text>
        <r>
          <rPr>
            <sz val="9"/>
            <color indexed="81"/>
            <rFont val="Tahoma"/>
            <family val="2"/>
          </rPr>
          <t>insert end date of reporting period</t>
        </r>
      </text>
    </comment>
    <comment ref="AZ6" authorId="0" shapeId="0" xr:uid="{A7F5AB85-F2A0-4111-B6BF-A2AC8954B9E5}">
      <text>
        <r>
          <rPr>
            <sz val="9"/>
            <color indexed="81"/>
            <rFont val="Tahoma"/>
            <family val="2"/>
          </rPr>
          <t>insert start date of reporting period</t>
        </r>
      </text>
    </comment>
    <comment ref="BA6" authorId="0" shapeId="0" xr:uid="{D2420467-ABC8-4BD0-A12F-81E5CB2309E4}">
      <text>
        <r>
          <rPr>
            <sz val="9"/>
            <color indexed="81"/>
            <rFont val="Tahoma"/>
            <family val="2"/>
          </rPr>
          <t>insert end date of reporting period</t>
        </r>
      </text>
    </comment>
    <comment ref="BD6" authorId="0" shapeId="0" xr:uid="{043F00F9-64DB-4A61-BFAB-05C2C7427977}">
      <text>
        <r>
          <rPr>
            <sz val="9"/>
            <color indexed="81"/>
            <rFont val="Tahoma"/>
            <family val="2"/>
          </rPr>
          <t>insert start date of reporting period</t>
        </r>
      </text>
    </comment>
    <comment ref="BE6" authorId="0" shapeId="0" xr:uid="{6B6439E7-FBBB-4027-A693-77E5D83E88A7}">
      <text>
        <r>
          <rPr>
            <sz val="9"/>
            <color indexed="81"/>
            <rFont val="Tahoma"/>
            <family val="2"/>
          </rPr>
          <t>insert end date of reporting period</t>
        </r>
      </text>
    </comment>
    <comment ref="BH6" authorId="0" shapeId="0" xr:uid="{BEEA6234-2F20-4124-A087-575D30749D85}">
      <text>
        <r>
          <rPr>
            <sz val="9"/>
            <color indexed="81"/>
            <rFont val="Tahoma"/>
            <family val="2"/>
          </rPr>
          <t>insert start date of reporting period</t>
        </r>
      </text>
    </comment>
    <comment ref="BI6" authorId="0" shapeId="0" xr:uid="{3C10ACD5-0577-4A27-92C4-8C677AB6FF09}">
      <text>
        <r>
          <rPr>
            <sz val="9"/>
            <color indexed="81"/>
            <rFont val="Tahoma"/>
            <family val="2"/>
          </rPr>
          <t>insert end date of reporting period</t>
        </r>
      </text>
    </comment>
    <comment ref="A8" authorId="1" shapeId="0" xr:uid="{00000000-0006-0000-0200-000001000000}">
      <text>
        <r>
          <rPr>
            <sz val="9"/>
            <color indexed="81"/>
            <rFont val="Arial"/>
            <family val="2"/>
          </rPr>
          <t>Budget No should follow the same logic as indicated in the template, i.e.
integer Numbers = main budget headings
1.1, 1.2, 1.3 etc = budget items
Please use the same logic when adding additional budget headings / items</t>
        </r>
      </text>
    </comment>
    <comment ref="B8" authorId="0" shapeId="0" xr:uid="{C9F02970-522B-4F41-96A9-3D383FA03D7D}">
      <text>
        <r>
          <rPr>
            <sz val="9"/>
            <color indexed="81"/>
            <rFont val="Arial"/>
            <family val="2"/>
          </rPr>
          <t>Budget items should be listed according to the budget in the Support Measure Agreement. If the budget in the Support Measure Agreement is amended, the budget in all Reimbursement Requests following the amendment shall be adapted accordingly. In case of Programmes, each Programme Component must be a separate budget heading item. The first budget heading is always the Programme Management. 
In case of the Support Measure Preparation Fund, preparation funds for each Support Measure should be listed as a separate budget item. 
In case of the Technical Assistance Fund, budget items to be structured according to the eligible tasks described in Art. 6.5 of the Regulations.</t>
        </r>
      </text>
    </comment>
    <comment ref="BQ8" authorId="1" shapeId="0" xr:uid="{21E2D5CD-8C4D-4240-A575-ACB1B3F74462}">
      <text>
        <r>
          <rPr>
            <sz val="10"/>
            <color indexed="81"/>
            <rFont val="Arial Narrow"/>
            <family val="2"/>
          </rPr>
          <t>Please enter the amount that Switzerland is expected to contribute in the current and the next two calendar years. Please note that the Swiss reimbursements are always postponed by half a year compared to the payments. For the following year, for example, you must enter what Switzerland is expected to reimburse for the expenditures for the second half of the current year and the first semester of the following year.</t>
        </r>
      </text>
    </comment>
    <comment ref="C9" authorId="0" shapeId="0" xr:uid="{00000000-0006-0000-0200-000003000000}">
      <text>
        <r>
          <rPr>
            <sz val="9"/>
            <color indexed="81"/>
            <rFont val="Tahoma"/>
            <family val="2"/>
          </rPr>
          <t>1 CHF = amount in local currency
Please indicate the exchange rate as defined in the Budget of the Support Measure Agreement</t>
        </r>
      </text>
    </comment>
    <comment ref="F9" authorId="0" shapeId="0" xr:uid="{00000000-0006-0000-0200-000004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J9" authorId="0" shapeId="0" xr:uid="{00000000-0006-0000-0200-000005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N9" authorId="0" shapeId="0" xr:uid="{00000000-0006-0000-0200-000006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R9" authorId="0" shapeId="0" xr:uid="{00000000-0006-0000-0200-000007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V9" authorId="0" shapeId="0" xr:uid="{00000000-0006-0000-0200-000008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Z9" authorId="0" shapeId="0" xr:uid="{00000000-0006-0000-0200-000009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D9" authorId="0" shapeId="0" xr:uid="{00000000-0006-0000-0200-00000A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H9" authorId="0" shapeId="0" xr:uid="{00000000-0006-0000-0200-00000B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L9" authorId="0" shapeId="0" xr:uid="{00000000-0006-0000-0200-00000C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P9" authorId="0" shapeId="0" xr:uid="{00000000-0006-0000-0200-00000D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T9" authorId="0" shapeId="0" xr:uid="{00000000-0006-0000-0200-00000E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X9" authorId="0" shapeId="0" xr:uid="{00000000-0006-0000-0200-00000F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B9" authorId="0" shapeId="0" xr:uid="{00000000-0006-0000-0200-000010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F9" authorId="0" shapeId="0" xr:uid="{00000000-0006-0000-0200-000011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D10" authorId="0" shapeId="0" xr:uid="{00000000-0006-0000-0200-000012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16" authorId="0" shapeId="0" xr:uid="{00000000-0006-0000-0200-000013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4" authorId="0" shapeId="0" xr:uid="{00000000-0006-0000-0200-000014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9" authorId="0" shapeId="0" xr:uid="{00000000-0006-0000-0200-000015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35" authorId="0" shapeId="0" xr:uid="{00000000-0006-0000-0200-000016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7" authorId="0" shapeId="0" xr:uid="{00000000-0006-0000-0300-000001000000}">
      <text>
        <r>
          <rPr>
            <sz val="9"/>
            <color indexed="81"/>
            <rFont val="Arial"/>
            <family val="2"/>
          </rPr>
          <t xml:space="preserve">Please insert additional activities as needed; relate operational progress to the financial progress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3" authorId="0" shapeId="0" xr:uid="{00000000-0006-0000-0400-000001000000}">
      <text>
        <r>
          <rPr>
            <sz val="9"/>
            <color indexed="81"/>
            <rFont val="Tahoma"/>
            <family val="2"/>
          </rPr>
          <t>only to be completed and continuously updated for programmes</t>
        </r>
      </text>
    </comment>
    <comment ref="A8" authorId="0" shapeId="0" xr:uid="{00000000-0006-0000-0400-000002000000}">
      <text>
        <r>
          <rPr>
            <sz val="9"/>
            <color indexed="81"/>
            <rFont val="Tahoma"/>
            <family val="2"/>
          </rPr>
          <t xml:space="preserve">PSP / PA is internal number used in the CH Project management system.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A7" authorId="0" shapeId="0" xr:uid="{00000000-0006-0000-0500-000001000000}">
      <text>
        <r>
          <rPr>
            <sz val="11"/>
            <color indexed="81"/>
            <rFont val="Segoe UI"/>
            <family val="2"/>
          </rPr>
          <t xml:space="preserve">Provide an overview over all the procurements related to the SM. In case of Programmes, structure the table according to Programme Components. 
Unless otherwise agreed with Switzerland, only procurments above the threshold of CHF 150 000 must be listed.
Insert a number. For related tenders use the same number and
distinguish them using additional letters. For example, in case of a building renovation, there will be related tenders such as the technical project of the renovation (1a),the supervision of the renovation works (1b) and the renovation works (1c). 
The table is to be gradually updated and completed on a half-yearly basis.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C5" authorId="0" shapeId="0" xr:uid="{00000000-0006-0000-0000-000001000000}">
      <text>
        <r>
          <rPr>
            <sz val="9"/>
            <color indexed="81"/>
            <rFont val="Segoe UI"/>
            <family val="2"/>
          </rPr>
          <t>The Reference Number, the Support Measure Identification Code and the Creditor Number are necessary for the e-billing in Switzerland. They will be provided by the Swiss side and remain the same throughout the implementation period.</t>
        </r>
      </text>
    </comment>
  </commentList>
</comments>
</file>

<file path=xl/sharedStrings.xml><?xml version="1.0" encoding="utf-8"?>
<sst xmlns="http://schemas.openxmlformats.org/spreadsheetml/2006/main" count="665" uniqueCount="369">
  <si>
    <t>Swiss-Estonian Cooperation Programme</t>
  </si>
  <si>
    <t>Instructions</t>
  </si>
  <si>
    <t>Estonia</t>
  </si>
  <si>
    <t>A. Basic information</t>
  </si>
  <si>
    <t>Support Measure Title</t>
  </si>
  <si>
    <t>Supporting Social Inclusion</t>
  </si>
  <si>
    <t>Support Measure Identification Code</t>
  </si>
  <si>
    <t>Šveits.1.01</t>
  </si>
  <si>
    <t>7F-10699.01</t>
  </si>
  <si>
    <t xml:space="preserve">Support Measure duration </t>
  </si>
  <si>
    <t xml:space="preserve">from </t>
  </si>
  <si>
    <t xml:space="preserve">to </t>
  </si>
  <si>
    <t>Name of Executing Agency (EA)</t>
  </si>
  <si>
    <t>Ministry of Culture</t>
  </si>
  <si>
    <t>Reporting period</t>
  </si>
  <si>
    <t>Reimbursement Request No</t>
  </si>
  <si>
    <t xml:space="preserve">Total Support Measure Budget (local currency) </t>
  </si>
  <si>
    <t>EUR</t>
  </si>
  <si>
    <t>Maximum Swiss contribution (CHF)</t>
  </si>
  <si>
    <t>CHF</t>
  </si>
  <si>
    <t>Swiss co-financing rate</t>
  </si>
  <si>
    <t>on total budget</t>
  </si>
  <si>
    <t>on total expenditures</t>
  </si>
  <si>
    <t>Exchange rate used</t>
  </si>
  <si>
    <t>CHF/EUR</t>
  </si>
  <si>
    <t xml:space="preserve">Date of exchange rate </t>
  </si>
  <si>
    <t>B. Amount requested by the Paying Authority</t>
  </si>
  <si>
    <t>Total amount requested</t>
  </si>
  <si>
    <t xml:space="preserve">National co-financing </t>
  </si>
  <si>
    <t>Deductions (according to Regulations 11.4/3)</t>
  </si>
  <si>
    <t>Swiss co-financing = Reimbursement by CH</t>
  </si>
  <si>
    <t>C. Available amount from the Swiss Contribution</t>
  </si>
  <si>
    <t>Maximum Swiss Contribution</t>
  </si>
  <si>
    <t xml:space="preserve">Cumulative amount received from Switzerland </t>
  </si>
  <si>
    <t>Available amount before the current reimbursement</t>
  </si>
  <si>
    <t>Total amount of current reimbursement request</t>
  </si>
  <si>
    <t>Remaining amount after the current reimbursement</t>
  </si>
  <si>
    <t>D. Certification and approval of Reimbursement Request</t>
  </si>
  <si>
    <t>Executing Agency: Programme Operator</t>
  </si>
  <si>
    <t>Name of the institution:</t>
  </si>
  <si>
    <t>Address:</t>
  </si>
  <si>
    <t>Suur-Karja 23,15076 Tallinn, Estonia</t>
  </si>
  <si>
    <t>Name of the contact person:</t>
  </si>
  <si>
    <t>Olga Gnezdovski</t>
  </si>
  <si>
    <t>Position:</t>
  </si>
  <si>
    <t>Coordinator of the Estonian-Swiss Cooperation Programme</t>
  </si>
  <si>
    <t>Email:</t>
  </si>
  <si>
    <t>olga.gnezdovski@kul.ee</t>
  </si>
  <si>
    <t>Phone number:</t>
  </si>
  <si>
    <t>+37255528081</t>
  </si>
  <si>
    <t>The Executing Agency hereby certifies</t>
  </si>
  <si>
    <t>(i) that the Support Measure is implemented in accordance with the Support Measure Agreement and Support Measure Implementation Agreement;
(ii) the reporting under Physical Progress, Financial Progress and Procurement Plan is true and accurate;
(iii) that the reporting under Financial Progress reflects correctly the incurred expenditures; 
(iv) that recoverable VAT is not included in the Financial Progress as eligible expense; 
(v) that no double-financing occurs;
(vi) that all procurements for which expenditures were incurred during the reporting period have been conducted in compliance with the applicable law of the Partner State and EU directives on public procurement.</t>
  </si>
  <si>
    <t>Name: Merilin Piipuu</t>
  </si>
  <si>
    <t xml:space="preserve">Position: </t>
  </si>
  <si>
    <t>Secretary General</t>
  </si>
  <si>
    <t>Place, date and signature</t>
  </si>
  <si>
    <t>digitally signed</t>
  </si>
  <si>
    <t>National Coordination Unit</t>
  </si>
  <si>
    <t>State Shared Service Centre</t>
  </si>
  <si>
    <t>Lõkke 4, 10122 Tallinn</t>
  </si>
  <si>
    <t>Helena Musthallik</t>
  </si>
  <si>
    <t>programme expert</t>
  </si>
  <si>
    <t>helena.musthallik@rtk.ee</t>
  </si>
  <si>
    <t>+37256466003</t>
  </si>
  <si>
    <t>The National Coordination Unit hereby certifies</t>
  </si>
  <si>
    <r>
      <t xml:space="preserve">
</t>
    </r>
    <r>
      <rPr>
        <sz val="10"/>
        <color rgb="FF000000"/>
        <rFont val="Arial"/>
        <family val="2"/>
      </rPr>
      <t xml:space="preserve">(i) that the information and financial data provided in this Reimbursement Request has been thoroughly reviewed and found to be correct, reliable and accurate;  
(ii) that claimed expenditures are incurred as part of the Support Measure in accordance with the Framework Agreement, the relevant Support Measure Agreement and Support Measure Implementation Agreement;  
(iii) that all payments declared have actually been made in the indicated (or exceptionally previous) reporting period;
(iv) the compliance with state aid rules of all activities performed in the reporting period. 
</t>
    </r>
  </si>
  <si>
    <t>Name: Urmo Merila</t>
  </si>
  <si>
    <t>Deputy Director General</t>
  </si>
  <si>
    <t>Date and signature</t>
  </si>
  <si>
    <t>Paying Authority</t>
  </si>
  <si>
    <t>Janika Otsing</t>
  </si>
  <si>
    <t>financial specialist</t>
  </si>
  <si>
    <t>janika.otsing@rtk.ee</t>
  </si>
  <si>
    <t>+3726631926</t>
  </si>
  <si>
    <t>The Paying Authority hereby certifies</t>
  </si>
  <si>
    <t>(i) to have checked the conformity of the Reimbursement Request with the financial stipulations, in particular the co-financing rate, set out in the relevant Support Measure Agreement; 
(ii) to have received sufficient information for the certification of the Reimbursement Request; 
(iii) to have checked the compliance of the Reimbursement Request with the information available to the Paying Authority;
(iv) that the co-financing of the Partner State has been provided in accordance with the relevant Support Measure Agreement;
(v) that based on the information available to the Paying Authority no double-financing could be identified;
(vi) that recoverable VAT is not included in the Reimbursement Request as eligible expense.</t>
  </si>
  <si>
    <t>The bank details for reimbursement are as follows:</t>
  </si>
  <si>
    <t>Beneficiary: Ministry of Finance of the Republic of Estonia</t>
  </si>
  <si>
    <t>IBAN: EE891010220034796011</t>
  </si>
  <si>
    <t>SWIFT: EEUHEE2X</t>
  </si>
  <si>
    <t>Reference: 2550081357</t>
  </si>
  <si>
    <t>Name: Karin Viikmaa</t>
  </si>
  <si>
    <t>Head of the Grants Payment Department</t>
  </si>
  <si>
    <t>Financial Progress</t>
  </si>
  <si>
    <t>1a</t>
  </si>
  <si>
    <t>1b</t>
  </si>
  <si>
    <t>1c</t>
  </si>
  <si>
    <t>1d</t>
  </si>
  <si>
    <t>2a</t>
  </si>
  <si>
    <t>2b</t>
  </si>
  <si>
    <t>2c</t>
  </si>
  <si>
    <t>2d</t>
  </si>
  <si>
    <t>3a</t>
  </si>
  <si>
    <t>3b</t>
  </si>
  <si>
    <t>3c</t>
  </si>
  <si>
    <t>3d</t>
  </si>
  <si>
    <t>4a</t>
  </si>
  <si>
    <t>4b</t>
  </si>
  <si>
    <t>4c</t>
  </si>
  <si>
    <t>4d</t>
  </si>
  <si>
    <t>5a</t>
  </si>
  <si>
    <t>5b</t>
  </si>
  <si>
    <t>5c</t>
  </si>
  <si>
    <t>5d</t>
  </si>
  <si>
    <t>6a</t>
  </si>
  <si>
    <t>6b</t>
  </si>
  <si>
    <t>6c</t>
  </si>
  <si>
    <t>6d</t>
  </si>
  <si>
    <t>7a</t>
  </si>
  <si>
    <t>7b</t>
  </si>
  <si>
    <t>7c</t>
  </si>
  <si>
    <t>7d</t>
  </si>
  <si>
    <t>8a</t>
  </si>
  <si>
    <t>8b</t>
  </si>
  <si>
    <t>8c</t>
  </si>
  <si>
    <t>8d</t>
  </si>
  <si>
    <t>9a</t>
  </si>
  <si>
    <t>9b</t>
  </si>
  <si>
    <t>9c</t>
  </si>
  <si>
    <t>9d</t>
  </si>
  <si>
    <t>10a</t>
  </si>
  <si>
    <t>10b</t>
  </si>
  <si>
    <t>10c</t>
  </si>
  <si>
    <t>10d</t>
  </si>
  <si>
    <t>11a</t>
  </si>
  <si>
    <t>11b</t>
  </si>
  <si>
    <t>11c</t>
  </si>
  <si>
    <t>11d</t>
  </si>
  <si>
    <t>12a</t>
  </si>
  <si>
    <t>12b</t>
  </si>
  <si>
    <t>12c</t>
  </si>
  <si>
    <t>12d</t>
  </si>
  <si>
    <t>13a</t>
  </si>
  <si>
    <t>13b</t>
  </si>
  <si>
    <t>13c</t>
  </si>
  <si>
    <t>13d</t>
  </si>
  <si>
    <t>14a</t>
  </si>
  <si>
    <t>14b</t>
  </si>
  <si>
    <t>14c</t>
  </si>
  <si>
    <t>14d</t>
  </si>
  <si>
    <t xml:space="preserve">BUDGET  </t>
  </si>
  <si>
    <t>REPORTING PERIOD 1:</t>
  </si>
  <si>
    <t>REPORTING PERIOD 2:</t>
  </si>
  <si>
    <t>REPORTING PERIOD 3:</t>
  </si>
  <si>
    <t>REPORTING PERIOD 4:</t>
  </si>
  <si>
    <t>start date</t>
  </si>
  <si>
    <t xml:space="preserve">end date </t>
  </si>
  <si>
    <t>REPORTING PERIOD 5:</t>
  </si>
  <si>
    <t>REPORTING PERIOD 6:</t>
  </si>
  <si>
    <t>REPORTING PERIOD 7:</t>
  </si>
  <si>
    <t>REPORTING PERIOD 8:</t>
  </si>
  <si>
    <t>REPORTING PERIOD 9:</t>
  </si>
  <si>
    <t>REPORTING PERIOD 10:</t>
  </si>
  <si>
    <t>REPORTING PERIOD 11:</t>
  </si>
  <si>
    <t>REPORTING PERIOD 12:</t>
  </si>
  <si>
    <t>REPORTING PERIOD 13:</t>
  </si>
  <si>
    <t>REPORTING PERIOD 14:</t>
  </si>
  <si>
    <t xml:space="preserve">CUMULATIVE DATA </t>
  </si>
  <si>
    <t>PLANNING</t>
  </si>
  <si>
    <t>%</t>
  </si>
  <si>
    <t>No</t>
  </si>
  <si>
    <t>Budget items</t>
  </si>
  <si>
    <t>Budget 
100%</t>
  </si>
  <si>
    <t>Co-financing rate (CH co-financing)</t>
  </si>
  <si>
    <t>Swiss contribution (co-financing)</t>
  </si>
  <si>
    <t>Eligible expenditures 100%</t>
  </si>
  <si>
    <t>% of Budget spent</t>
  </si>
  <si>
    <t>Total remaining Budget</t>
  </si>
  <si>
    <t>Eligible Expenditures 100%</t>
  </si>
  <si>
    <t>% of Swiss Contribution  spent</t>
  </si>
  <si>
    <t>Total remaining Swiss contribution</t>
  </si>
  <si>
    <t>Reimbursements expected to be received from Switzerland (current year)</t>
  </si>
  <si>
    <t>Reimbursements expected to be received from Switzerland (year +1)</t>
  </si>
  <si>
    <t>Reimbursements expected to be received from Switzerland (year +2)</t>
  </si>
  <si>
    <t>Management Costs</t>
  </si>
  <si>
    <t>Personnel</t>
  </si>
  <si>
    <t>Meetings, seminars and visits</t>
  </si>
  <si>
    <t>Swiss experts and partners</t>
  </si>
  <si>
    <t>Information and communication</t>
  </si>
  <si>
    <t>Reserve costs</t>
  </si>
  <si>
    <t xml:space="preserve">Programme Component 1 “Cultural and linguistic integration” </t>
  </si>
  <si>
    <t>Programme Component coordinator MoC</t>
  </si>
  <si>
    <t>.</t>
  </si>
  <si>
    <t>Overheads</t>
  </si>
  <si>
    <t>Activity 1: Preparation of digital transformation in the field of integration (incl personnel costs)</t>
  </si>
  <si>
    <t>Activity 2: Inclusion of volunteers in the integration activities (incl personnel costs)</t>
  </si>
  <si>
    <t>Activity 3: Provision of counselling services including in language learning (incl personnel costs)</t>
  </si>
  <si>
    <t>Activity 4:  Activities introducing the Estonian cultural space (incl personnel costs)</t>
  </si>
  <si>
    <t>Activity 5: Provision of media literacy training (incl personnel costs)</t>
  </si>
  <si>
    <t>Programme Component 2 "Strengthening the social-and child protection services"</t>
  </si>
  <si>
    <t xml:space="preserve">Programme Component coordinator in MoSA </t>
  </si>
  <si>
    <t>Activity 1:curricula and professional qualification modification (incl personnel costs)</t>
  </si>
  <si>
    <t>Activity 2: training and counselling system (incl personnel costs)</t>
  </si>
  <si>
    <t>Programme Component 3 “Increasing multicultural competence in the education sector”</t>
  </si>
  <si>
    <t>Programme Component coordinator in MoER</t>
  </si>
  <si>
    <t>Overheads*</t>
  </si>
  <si>
    <t>Activity 1. In-service training for professionals in the education sector (incl personnel costs)</t>
  </si>
  <si>
    <t>4,3,1</t>
  </si>
  <si>
    <t>Activity 1 coordinator in the Education and Youth Board</t>
  </si>
  <si>
    <t>Activity 2. Informing, consulting and supporting parents, including parents from different cultural and linguistic backgrounds (incl personnel costs)</t>
  </si>
  <si>
    <t>Programme Component 4 “Strengthening civil society through social innovation.”</t>
  </si>
  <si>
    <t>Programme Component Coordinator in MoI</t>
  </si>
  <si>
    <t>Building civil society competence, raising public awareness and disseminating information on social innovation (incl personnel costs)</t>
  </si>
  <si>
    <t>TOTAL</t>
  </si>
  <si>
    <r>
      <t xml:space="preserve">Information on modifications of the Support Measure approved during the reporting period 
</t>
    </r>
    <r>
      <rPr>
        <i/>
        <sz val="11"/>
        <rFont val="Arial Narrow"/>
        <family val="2"/>
      </rPr>
      <t xml:space="preserve">According to Regulation Article 4.12 </t>
    </r>
  </si>
  <si>
    <r>
      <t xml:space="preserve">Information on non-eligible expenditures during the reporting period
</t>
    </r>
    <r>
      <rPr>
        <i/>
        <sz val="11"/>
        <rFont val="Arial Narrow"/>
        <family val="2"/>
      </rPr>
      <t xml:space="preserve">Please indicate the amount of non-eligible expenditures during the reporting period. Why are the expenditures non-eligible (for example due to irregularities or because it was agreed during the approval process of the SM that the costs are non-eligible)? Who will finance the non-eligible expenditures? </t>
    </r>
  </si>
  <si>
    <t>No non-eligible expenditures were indicated during the reporting period.</t>
  </si>
  <si>
    <r>
      <t xml:space="preserve">Information on deductions related to financial corrections (Art 11.4/3 Regulations)
</t>
    </r>
    <r>
      <rPr>
        <i/>
        <sz val="11"/>
        <rFont val="Arial Narrow"/>
        <family val="2"/>
      </rPr>
      <t xml:space="preserve">In case of a financial correction already paid by Switzerland and deducted in this Reimbusement Request, please indicate the budget item, reporting period in question and provide explanation on the deduction made / refer to irregularity report. </t>
    </r>
  </si>
  <si>
    <t xml:space="preserve">There are no deductions related to financial corrections. </t>
  </si>
  <si>
    <r>
      <t xml:space="preserve">Information on advance payments
</t>
    </r>
    <r>
      <rPr>
        <i/>
        <sz val="11"/>
        <rFont val="Arial Narrow"/>
        <family val="2"/>
      </rPr>
      <t>According to Art. 8.3. of the Regulations the Partner State may in exceptional cases agree with Switzerland on advance payments. If these are foreseen  in the Support Measure Agreement, describe how the advance payment will be used in the upcoming reimbursement period and provide proof for the execution of the advance payment by the Partner State.</t>
    </r>
  </si>
  <si>
    <t>No advance payments were foreseen.</t>
  </si>
  <si>
    <r>
      <rPr>
        <b/>
        <sz val="11"/>
        <color rgb="FF000000"/>
        <rFont val="Arial Narrow"/>
        <family val="2"/>
        <charset val="186"/>
      </rPr>
      <t xml:space="preserve">Information regarding deviations from financial planning
</t>
    </r>
    <r>
      <rPr>
        <i/>
        <sz val="11"/>
        <color rgb="FF000000"/>
        <rFont val="Arial Narrow"/>
        <family val="2"/>
        <charset val="186"/>
      </rPr>
      <t>If there is a significant difference between the expenditures planned for this reporting period and the actual expenditures paid by the Paying Authority, justify the deviations. Also explain if the financial planning in this reimbursement request significantly differs from the financial planning in the previous reimbursement requests.If there is a cost overrun per budget item, describe how the additional costs will be covered.</t>
    </r>
  </si>
  <si>
    <t>The costs are reported to the Swiss side with a time lag, as only expenditures that have been verified and paid by the NCU can be declared. Therefore, the cumulative percentage of expenditure remains relatively low and does not fully reflect the numerous activities that have already been implemented. In addition, the activities have been implemented in a cost-efficient manner. As of the end of July, in addition to the amount declared in this reimbursement request, approximately 160 000 EUR had already been paid out, while claims amounting to approximately 600 000 EUR are currently under review by the NCU.</t>
  </si>
  <si>
    <t>Operational Progress</t>
  </si>
  <si>
    <t xml:space="preserve">No </t>
  </si>
  <si>
    <t>Short description of activities undertaken in the reporting period</t>
  </si>
  <si>
    <r>
      <rPr>
        <b/>
        <sz val="10"/>
        <rFont val="Arial"/>
        <family val="2"/>
        <charset val="186"/>
      </rPr>
      <t>Personnel:</t>
    </r>
    <r>
      <rPr>
        <sz val="10"/>
        <rFont val="Arial"/>
        <family val="2"/>
        <charset val="186"/>
      </rPr>
      <t xml:space="preserve"> 
There were no changes in the Programme Operator team during the reporting period. 
The programme coordinator at the Ministry of Culture manages and coordinates the support measure, carrying out necessary administrative activities, drafting regular reports, ensuring smooth communication between parties, monitoring the overall implementation and timeline, and planning and coordinating programme-related events and meetings. The coordinator is also supported by other employees of the ministry, such as the Head of Foreign Financing and the Communication Advisor.
The NCU controls expenditures paid from the support measure.</t>
    </r>
  </si>
  <si>
    <r>
      <rPr>
        <b/>
        <sz val="10"/>
        <rFont val="Arial"/>
        <family val="2"/>
        <charset val="186"/>
      </rPr>
      <t>Meetings, seminars and visits:</t>
    </r>
    <r>
      <rPr>
        <sz val="10"/>
        <rFont val="Arial"/>
        <family val="2"/>
        <charset val="186"/>
      </rPr>
      <t xml:space="preserve">
During the reporting period, the Steering Committee met once, on 5 March 2026. Two meetings of the Task Force were held and two written procedures were carried out. 
In addition, several other meetings took place between the relevant parties in connection with the programme in order to support smooth communication and effective implementation.</t>
    </r>
  </si>
  <si>
    <r>
      <t>Information and communication:</t>
    </r>
    <r>
      <rPr>
        <sz val="10"/>
        <rFont val="Arial"/>
        <family val="2"/>
        <charset val="186"/>
      </rPr>
      <t xml:space="preserve">
An article summarising the main achievements of the Support Measure in 2025 and outlining the focus areas for 2026 was published on the blog of the Ministry of Culture called "Kuva" (https://www.kul.ee/uudised/sveitsi-eesti-koostooprogrammi-hetkeseis-ja-tulevik).
Social media post about the Steering Committee meeting was done.
In communication activities the coordinator is supported by the Communication Adviser of the ministry.</t>
    </r>
  </si>
  <si>
    <r>
      <rPr>
        <b/>
        <sz val="10"/>
        <rFont val="Arial"/>
        <family val="2"/>
        <charset val="186"/>
      </rPr>
      <t xml:space="preserve">Reserve costs:
</t>
    </r>
    <r>
      <rPr>
        <sz val="10"/>
        <rFont val="Arial"/>
        <family val="2"/>
        <charset val="186"/>
      </rPr>
      <t xml:space="preserve">No reserve costs were used during the reporting period.
</t>
    </r>
  </si>
  <si>
    <t>Estimated cumulative physical progress (%)</t>
  </si>
  <si>
    <t>N/A</t>
  </si>
  <si>
    <r>
      <rPr>
        <b/>
        <sz val="10"/>
        <color rgb="FF000000"/>
        <rFont val="Arial"/>
        <family val="2"/>
        <charset val="186"/>
      </rPr>
      <t xml:space="preserve">Programme Component coordination (MoC):
</t>
    </r>
    <r>
      <rPr>
        <sz val="10"/>
        <color rgb="FF000000"/>
        <rFont val="Arial"/>
        <family val="2"/>
        <charset val="186"/>
      </rPr>
      <t xml:space="preserve">During the reporting period, the focus was on implementing the activities agreed in the detailed Action Plan for 2026. 
The Component 1 team actively participated in regular meetings, including online workshops with the Bern University of Applied Sciences, as well as meetings of the Support Measure Steering Committee and Task Force. In February, the joint cooperation day was organised for all coordinators and project managers of Component 1 to discuss common topics and challenges. Also, the representatives of Component 1 (together with Component 4) had a possibility to participate in a study visit in Switzerland in April. These meetings and joint activities enabled the exchange of information and experience and ensured coordinated action. </t>
    </r>
  </si>
  <si>
    <r>
      <t xml:space="preserve">Activity 1: Preparation of digital transformation in the field of integration: 
</t>
    </r>
    <r>
      <rPr>
        <sz val="10"/>
        <color rgb="FF000000"/>
        <rFont val="Arial"/>
        <family val="2"/>
        <charset val="186"/>
      </rPr>
      <t>The current reporting period saw the realisation of multiple initiatives from previous periods, thus creating tangible results concerning the project's indicators. In April 2026, the analysis of current digital systems for facilitating the integration of foreigners was finalised. The final report consists of a detailed AS-IS situation analysis, as well as five in-depth future scenarios on how to better develop and integrate existing systems to address current issues, maximise effectiveness, increase quality, and future-proof the digital ecosystem in the integration field.
Highlights from the 460-page report were shared with relevant stakeholders at an event hosted by the Ministry of Culture. The colleagues of INSA and MoC began initial discussions on how to move forward with the results of the analysis, with discussions set to continue throughout summer 2026.
In parallel, developments to the INSA client service digital environment “PESA” were carried out based on the interim results of the analysis. These developments aim to improve the PESA system, as well as make it more compliant with upcoming changes. Completion of this analysis also means that the project's output indicator OPI 1.17 is now fulfilled.
The reporting period also saw the preparation of a tender for the creation of a new digital tool. This tool is a self-check solution for adult individuals interested in applying for Estonian citizenship through naturalisation. The self-check tool allows users to answer basic questions, helping the system suggest how many of the requirements the person has fulfilled. In cases of unmet requirements, the system directs users to relevant next steps. It also includes information blocks and other useful features needed for the naturalisation journey.
A similar digital tool does not currently exist in Estonia. Therefore, during the tender preparation process, great emphasis was placed on understanding the client journey, as well as creating the best value-for-money technical solution for the upcoming tool. The tender process was conducted successfully, and a software development partner has already started working regularly with INSA on the development of the tool. The development is expected to be completed by autumn 2026, thereby adding one output under indicator OPI 1.15 (out of total target of three).
The reporting period also included developments in international cooperation. A joint study visit by INSA and MoC to Switzerland served as a starting point for dialogue with the IOM Head Office in Geneva, as well as opening potential for cooperation with the Swiss Red Cross. Both of these organisations already have extensive experience in developing digital tools for migrant integration. Follow-up meetings were held after the study visit, and discussions are ongoing on how best to utilise international cooperation in a field in which both opportunities and challenges are becoming increasingly global in nature.</t>
    </r>
  </si>
  <si>
    <r>
      <rPr>
        <b/>
        <sz val="10"/>
        <color rgb="FF000000"/>
        <rFont val="Arial"/>
        <family val="2"/>
        <charset val="186"/>
      </rPr>
      <t>Activity 3: Provision of counselling services including in language learning:</t>
    </r>
    <r>
      <rPr>
        <sz val="10"/>
        <color rgb="FF000000"/>
        <rFont val="Arial"/>
        <family val="2"/>
        <charset val="186"/>
      </rPr>
      <t xml:space="preserve">
During the first half of 2026, counselling services were further expanded and developed. Counsellors provided peer-to-peer counselling, independent language learning counselling, and language learning, adaptation, and integration counselling. Services were delivered through individual counselling sessions, group counselling sessions, and information sessions.
A total of 903 counselling sessions were delivered during the reporting period, including 319 individual counselling sessions, 456 participants in group counselling sessions, and 128 participants in information sessions.
Across all service formats, 88 participants received peer-to-peer counselling services, 570 participants received independent language learning counselling, and 235 participants received language learning, adaptation, and integration counselling.
Individual counselling consisted of 32 peer-to-peer counselling sessions, 77 independent language learning counselling sessions, and 210 language learning, adaptation, and integration counselling sessions. Group counselling sessions included 24 participants in peer-to-peer counselling groups and 432 participants in independent language learning counselling groups. Information sessions included 32 participants in peer-to-peer counselling sessions, 61 participants in independent language learning counselling sessions, 25 participants in language learning, adaptation, and integration counselling sessions, and 10 participants in focus group sessions.
The counselling services reached a diverse group of participants. In total, 654 women, 188 men, and 61 participants who did not provide gender information received counselling services. Among all participants, 168 were migrants from Ukraine, and 164 were forcibly displaced persons holding temporary or international protection.
The study of user needs, carried out in cooperation with an external partner, was successfully completed in April 2026. The research findings were presented, translated into English and shared with the Swiss project partner (Bern University of Applied Sciences) to support knowledge exchange. Focus group sessions were conducted as part of the research and development process in May 2026 and provided valuable feedback that will support the continued development and improvement of the counselling services. The second round of focus group sessions will be held in autumn.
Service development continued throughout the reporting period. A service description was being developed, and work on the development of a counselling service standard was initiated. Preparations also began for the development of a structured counsellor training programme through a public procurement process.
Professional capacity building remained an important focus. A three-day public speaking course was organised for counsellors, with 21 counsellors participating to strengthen their communication and presentation skills for service delivery and representation.
International cooperation was strengthened through a study visit to Switzerland in April 2026, where the project manager exchanged experiences and good practices with Swiss partners. National cooperation was also enhanced through a collaboration meeting with Tallinn Migration Centre to explore opportunities for closer coordination of services and referral pathways.
To increase the visibility of the counselling services, the counsellors participated in the Estonian Association of Cities and Municipalities Annual Days with an updated exhibition stand and promotional materials. Service leaflets were produced, and preparations were made to translate them into English and Russian, further improving access to information for the target groups.
Overall, the first half of 2026 focused on expanding the reach of counselling services, working on service descriptions and quality standard documents (that will be continued in the second half of the year), enhancing counsellor competencies, and reinforcing both national and international cooperation to ensure the sustainability and long-term impact of the services.
</t>
    </r>
  </si>
  <si>
    <r>
      <rPr>
        <b/>
        <sz val="10"/>
        <color rgb="FF000000"/>
        <rFont val="Arial"/>
        <family val="2"/>
        <charset val="186"/>
      </rPr>
      <t>Activity 4:  Activities introducing the Estonian cultural space</t>
    </r>
    <r>
      <rPr>
        <sz val="10"/>
        <color rgb="FF000000"/>
        <rFont val="Arial"/>
        <family val="2"/>
        <charset val="186"/>
      </rPr>
      <t>: 
Activities to promote the Estonian cultural and customs space have started and will continue until 31 January 2027. The programme consists of workshops, debates, cultural meetings (20 academic hours), and five study visits.
Clarification: This report presents data from the interim public procurement reports reviewed for the period 01 January – 30 April 2026, focusing solely on groups that concluded during this timeframe.
By 30 April 2026, 9 groups have concluded in Harju County, 3 groups in Ida-Viru County, and 1 group in Tartu; unfortunately, the group in Pärnu could not be launched due to a lack of participants. There were a total of 892 participations across all groups.
A series of study visits focusing on the Estonian cultural and customs space commenced in January, starting from Tallinn and Narva. These visits cover various locations related to the Estonian cultural and customs space and aim to encourage Estonian language practice. The study visits will continue until 31 March 2027. According to the interim report from 30 April 2026, a total of 17 study visits have taken place, with 587 participations recorded. As of 30 June 2026, a total of 26 study visits have taken place, including 16 from Tallinn and 10 from Narva.
On 14 May 2026, a focus group workshop was held regarding activities that promote the Estonian cultural and customs space, providing valuable insights into how the services can be firther improved. The workshop had 8 participants.
In April, INSA participated in a study visit to Switzerland to explore Swiss integration practices.
During the reporting period, a call for tenders was prepared for a film screening programme in Ida-Viru County focusing on Estonian cultural and customs space, and the contract was awarded to the partner, Ida-Viru Enterprise Center. The programme has been approved: eight outdoor evening cinema sessions will start on 28 July 2026, and eight indoor cinema sessions will take place between 1 September and 30 November 2026.
Preparations are underway for a call for proposals for a film workshop programme presenting the Estonian cultural and customs space, as well as a call for proposals for a training programme for cultural institution personnel.</t>
    </r>
  </si>
  <si>
    <r>
      <rPr>
        <b/>
        <sz val="10"/>
        <color rgb="FF000000"/>
        <rFont val="Arial"/>
        <family val="2"/>
        <charset val="186"/>
      </rPr>
      <t xml:space="preserve">Activity 5: Provision of media literacy training: 
</t>
    </r>
    <r>
      <rPr>
        <sz val="10"/>
        <color rgb="FF000000"/>
        <rFont val="Arial"/>
        <family val="2"/>
        <charset val="186"/>
      </rPr>
      <t>The Media Literacy Programme has made strong progress during the first half of 2026. Thirty events were organised across Estonia, involving 847 participations from people with diverse linguistic and cultural backgrounds (cumulatively 1061 participations during the project period). Activities included media literacy cafés, documentary screenings, seminars for the Ukrainian community, and the first museum-based media literacy event. Media literacy topics were integrated into B1-level Estonian language classes in Tallinn and Viljandi. The programme further strengthened its learning resources through the continuous development of the trilingual (EST; RUS; ENG) MeediaRadar website and the introduction of a tablet lending solution to improve access to digital learning materials. Cooperation with libraries, museums and other partners continued to expand. Preparations are underway for a Russian-language radio series on media literacy and psychology, as well as andragogy training for library staff, both of which will be launched in the second half of the year.</t>
    </r>
  </si>
  <si>
    <r>
      <rPr>
        <b/>
        <sz val="10"/>
        <color rgb="FF000000"/>
        <rFont val="Arial"/>
        <family val="2"/>
        <charset val="186"/>
      </rPr>
      <t xml:space="preserve">Programme Component coordination (MoSA): 
</t>
    </r>
    <r>
      <rPr>
        <sz val="10"/>
        <color rgb="FF000000"/>
        <rFont val="Arial"/>
        <family val="2"/>
        <charset val="186"/>
      </rPr>
      <t>In the 1st half of 2026, altogether 8 educational institutions (3 higer education schools Tallinn University, University of Tartu Pärnu College and TTK University of Applied Sciences as well as 5 vocational educational schools Valgamaa Vocational Training Centre,Haapsalu Vocational Education and Training Centre, Järvamaa Vocational College, Kuressaare Regional Training Centre and Tartu Applied Health Sciences University) were engaged as partners to the programme component in order to update altogether 5 higher education curricula and 5 vocational education in the social sector. 
During the reporting period, activities were implemented according to the agreed action plan.
The Component 2 team actively participated in regular meetings, including online workshops with the Bern University of Applied Sciences, PO and NCU as well as meetings of the Support Measure Steering Committee and Task Force. These meetings enable the exchange of information and experience and ensure coordinated action.</t>
    </r>
    <r>
      <rPr>
        <sz val="10"/>
        <color rgb="FFFF0000"/>
        <rFont val="Arial"/>
        <family val="2"/>
        <charset val="186"/>
      </rPr>
      <t xml:space="preserve">                                      </t>
    </r>
    <r>
      <rPr>
        <sz val="10"/>
        <color rgb="FF000000"/>
        <rFont val="Arial"/>
        <family val="2"/>
        <charset val="186"/>
      </rPr>
      <t xml:space="preserve">                                       </t>
    </r>
  </si>
  <si>
    <r>
      <t xml:space="preserve">To support professionals in applying for professional qualifications, Estonian Social Work Association (ESWA) organised three writing camps between January and March, with a total of 26 participants. In the spring application round for the Social Worker Professional Qualification, </t>
    </r>
    <r>
      <rPr>
        <b/>
        <sz val="10"/>
        <color rgb="FF000000"/>
        <rFont val="Arial"/>
        <family val="2"/>
        <charset val="186"/>
      </rPr>
      <t>9 social workers who had participated in the writing camps submitted applications, successfully obtained the qualification.</t>
    </r>
    <r>
      <rPr>
        <sz val="10"/>
        <color rgb="FF000000"/>
        <rFont val="Arial"/>
        <family val="2"/>
        <charset val="186"/>
      </rPr>
      <t xml:space="preserve"> </t>
    </r>
    <r>
      <rPr>
        <u/>
        <sz val="10"/>
        <color rgb="FF000000"/>
        <rFont val="Arial"/>
        <family val="2"/>
        <charset val="186"/>
      </rPr>
      <t>The writing camps have proven to be an effective support measure in the professional qualification application process</t>
    </r>
    <r>
      <rPr>
        <sz val="10"/>
        <color rgb="FF000000"/>
        <rFont val="Arial"/>
        <family val="2"/>
        <charset val="186"/>
      </rPr>
      <t xml:space="preserve">, increasing participants’ readiness and confidence to successfully apply for professional qualifications. 
In April 2026, a professional qualification seminar was held with the aim of </t>
    </r>
    <r>
      <rPr>
        <b/>
        <sz val="10"/>
        <color rgb="FF000000"/>
        <rFont val="Arial"/>
        <family val="2"/>
        <charset val="186"/>
      </rPr>
      <t>harmonising qualification assessment procedures</t>
    </r>
    <r>
      <rPr>
        <sz val="10"/>
        <color rgb="FF000000"/>
        <rFont val="Arial"/>
        <family val="2"/>
        <charset val="186"/>
      </rPr>
      <t xml:space="preserve"> and strengthening collaboration among assessors. The seminar was attended by 17 participants. The qualification seminars contribute to more consistent and higher-quality assessment and procedural practices.
Regarding the activity of </t>
    </r>
    <r>
      <rPr>
        <b/>
        <sz val="10"/>
        <color rgb="FF000000"/>
        <rFont val="Arial"/>
        <family val="2"/>
        <charset val="186"/>
      </rPr>
      <t>p</t>
    </r>
    <r>
      <rPr>
        <b/>
        <sz val="10"/>
        <color rgb="FF000000"/>
        <rFont val="Arial"/>
        <family val="2"/>
        <charset val="186"/>
      </rPr>
      <t>ublic awareness campaign highlighting new possibilities and positive changes in social care- and child protection studies and work environment</t>
    </r>
    <r>
      <rPr>
        <sz val="10"/>
        <color rgb="FF000000"/>
        <rFont val="Arial"/>
        <family val="2"/>
        <charset val="186"/>
      </rPr>
      <t xml:space="preserve">, it was decided that the </t>
    </r>
    <r>
      <rPr>
        <b/>
        <sz val="10"/>
        <color rgb="FF000000"/>
        <rFont val="Arial"/>
        <family val="2"/>
        <charset val="186"/>
      </rPr>
      <t>Social Insurance Board (SIB) would implement the activity</t>
    </r>
    <r>
      <rPr>
        <sz val="10"/>
        <color rgb="FF000000"/>
        <rFont val="Arial"/>
        <family val="2"/>
        <charset val="186"/>
      </rPr>
      <t xml:space="preserve"> instead of the Ministry of Social Affairs. It was also decided that reputation-building activities will not be implemented as one large procurement and reputation campaign, but as separate, </t>
    </r>
    <r>
      <rPr>
        <b/>
        <sz val="10"/>
        <color rgb="FF000000"/>
        <rFont val="Arial"/>
        <family val="2"/>
        <charset val="186"/>
      </rPr>
      <t>set of several smaller activities that support improving the reputation of the field based on different needs</t>
    </r>
    <r>
      <rPr>
        <sz val="10"/>
        <color rgb="FF000000"/>
        <rFont val="Arial"/>
        <family val="2"/>
        <charset val="186"/>
      </rPr>
      <t>. Activities will be implemented during 2027-2028. Three main directions to improve the image of the social sector:
-</t>
    </r>
    <r>
      <rPr>
        <b/>
        <sz val="10"/>
        <color rgb="FF000000"/>
        <rFont val="Arial"/>
        <family val="2"/>
        <charset val="186"/>
      </rPr>
      <t xml:space="preserve">Increasing visibility and positive awareness of the </t>
    </r>
    <r>
      <rPr>
        <b/>
        <sz val="10"/>
        <color rgb="FF000000"/>
        <rFont val="Arial"/>
        <family val="2"/>
        <charset val="186"/>
      </rPr>
      <t>sector</t>
    </r>
    <r>
      <rPr>
        <sz val="10"/>
        <color rgb="FF000000"/>
        <rFont val="Arial"/>
        <family val="2"/>
        <charset val="186"/>
      </rPr>
      <t xml:space="preserve">
Promoting social work through targeted communication, positive stories, media cooperation, and highlighting the impact of social services and project results.
-</t>
    </r>
    <r>
      <rPr>
        <b/>
        <sz val="10"/>
        <color rgb="FF000000"/>
        <rFont val="Arial"/>
        <family val="2"/>
        <charset val="186"/>
      </rPr>
      <t xml:space="preserve">Strengthening service quality and trust in the sector
</t>
    </r>
    <r>
      <rPr>
        <sz val="10"/>
        <color rgb="FF000000"/>
        <rFont val="Arial"/>
        <family val="2"/>
        <charset val="186"/>
      </rPr>
      <t xml:space="preserve">Supporting municipalities with practical guidelines, quality standards, tools, and knowledge-sharing to ensure more consistent and high-quality social services.
</t>
    </r>
    <r>
      <rPr>
        <b/>
        <sz val="10"/>
        <color rgb="FF000000"/>
        <rFont val="Arial"/>
        <family val="2"/>
        <charset val="186"/>
      </rPr>
      <t xml:space="preserve">-Developing a data-driven and transparent sector
</t>
    </r>
    <r>
      <rPr>
        <sz val="10"/>
        <color rgb="FF000000"/>
        <rFont val="Arial"/>
        <family val="2"/>
        <charset val="186"/>
      </rPr>
      <t>Using data and indicators to demonstrate the impact, quality, and development of social services and to strengthen public trust in the sector.      
Market research was conducted for the procurement of a</t>
    </r>
    <r>
      <rPr>
        <b/>
        <sz val="10"/>
        <color rgb="FF000000"/>
        <rFont val="Arial"/>
        <family val="2"/>
        <charset val="186"/>
      </rPr>
      <t xml:space="preserve"> workplace onboarding programme aimed at supporting people with different language and cultural backgrounds</t>
    </r>
    <r>
      <rPr>
        <sz val="10"/>
        <color rgb="FF000000"/>
        <rFont val="Arial"/>
        <family val="2"/>
        <charset val="186"/>
      </rPr>
      <t xml:space="preserve"> in entering employment in the social sector. As the aim is to ensure the sustainability of the programme by integrating it into a vocational education curriculum, the feedback received was that the curriculum analysis needs to be completed first and aligned with the updated standards. Only after this step will potential providers be interested in piloting the model. This activity has been postponed to high workload and the potential providers not seeing the right time for this activity due to the changing qualifications and legal reforms in the field. Therefore, the procurement has been postponed, and the expected timing for launching the call for proposals is late autumn.
</t>
    </r>
  </si>
  <si>
    <r>
      <rPr>
        <b/>
        <u/>
        <sz val="10"/>
        <color rgb="FF000000"/>
        <rFont val="Arial"/>
        <family val="2"/>
        <charset val="186"/>
      </rPr>
      <t xml:space="preserve">Activity 2: training and counselling system: 
</t>
    </r>
    <r>
      <rPr>
        <sz val="10"/>
        <color rgb="FF000000"/>
        <rFont val="Arial"/>
        <family val="2"/>
        <charset val="186"/>
      </rPr>
      <t xml:space="preserve">During the first half of 2026, the development and preparation of </t>
    </r>
    <r>
      <rPr>
        <b/>
        <sz val="10"/>
        <color rgb="FF000000"/>
        <rFont val="Arial"/>
        <family val="2"/>
        <charset val="186"/>
      </rPr>
      <t>continuing professional training opportunities for social sector specialists</t>
    </r>
    <r>
      <rPr>
        <sz val="10"/>
        <color rgb="FF000000"/>
        <rFont val="Arial"/>
        <family val="2"/>
        <charset val="186"/>
      </rPr>
      <t xml:space="preserve"> in the Social Insurance Board (SIB) continued. Guidance materials for the use of the Digital State Academy (Digiriigi Akadeemia) and Articulate Rise 360 platforms were developed, and the training courses “Introduction to Organising Continuing Professional Training” and “Best Practices in Procuring Training Providers” were delivered for Social Insurance Board (SIB) staff.Preparations were made for the Social Sector Trainers’ Development Day scheduled for 17 August.
At the same time, several </t>
    </r>
    <r>
      <rPr>
        <b/>
        <sz val="10"/>
        <color rgb="FF000000"/>
        <rFont val="Arial"/>
        <family val="2"/>
        <charset val="186"/>
      </rPr>
      <t>new training programmes were prepared</t>
    </r>
    <r>
      <rPr>
        <sz val="10"/>
        <color rgb="FF000000"/>
        <rFont val="Arial"/>
        <family val="2"/>
        <charset val="186"/>
      </rPr>
      <t xml:space="preserve"> and procured for different target groups by SIB, including:
- “Mental Health and Burnout Prevention”, 
- “Legal Training for Social Workers”, 
- “E-learning Course for Activity Instructors Entering the Profession”, 
- “Hybrid Training on Recognising Violence”, 
- “Difficult Conversations in Child Protection Work”, 
- “Solution-Focused Approach in Working with Children and Families”, 
- “Children with Special Needs and Parents with Special Needs in Child Protection Work”, 
- “Boundaries, Commitment and Professionalism in Child Protection Work”, 
- “Understanding Parenting in Child Protection Work – What to Notice and How to Provide Support”, 
- “Coaching Approach in Counselling”, 
- “Development Programme for Child Protection Managers”.                                                                                                                                                                                                                                   
Among the respondents who provided feedback on SIB trainings, 73.96% stated that the training provided new knowledge and skills that they could apply in their work.Participants gained a wide range of knowledge in accordance with the training curricula. The trainings provided practical skills and knowledge on topics such as curriculum development, preparation of technical specifications, conducting procurement procedures, and the importance of collecting and using feedback system ( internal trainings). The practitioners trainings contributed to improving participants’ communication skills and supported more effective interaction with families, children, partners, and colleagues.
Trainings were also carried out by ESWA. Between May and June, </t>
    </r>
    <r>
      <rPr>
        <b/>
        <sz val="10"/>
        <color rgb="FF000000"/>
        <rFont val="Arial"/>
        <family val="2"/>
        <charset val="186"/>
      </rPr>
      <t xml:space="preserve">ESWA organised training courses on ethics and self-care for care workers, as well as digital skills training for social workers. </t>
    </r>
    <r>
      <rPr>
        <sz val="10"/>
        <color rgb="FF000000"/>
        <rFont val="Arial"/>
        <family val="2"/>
        <charset val="186"/>
      </rPr>
      <t xml:space="preserve">The trainings covered ethical dilemmas, self-care, professional boundaries, burnout prevention, and the use of artificial intelligence in social work, including the analysis of legal acts and documents and the drafting of work-related texts. 
</t>
    </r>
    <r>
      <rPr>
        <u/>
        <sz val="10"/>
        <color rgb="FF000000"/>
        <rFont val="Arial"/>
        <family val="2"/>
        <charset val="186"/>
      </rPr>
      <t>Trainings in numbers:</t>
    </r>
    <r>
      <rPr>
        <sz val="10"/>
        <color rgb="FF000000"/>
        <rFont val="Arial"/>
        <family val="2"/>
        <charset val="186"/>
      </rPr>
      <t xml:space="preserve">
During the first half of 2026, a total of </t>
    </r>
    <r>
      <rPr>
        <b/>
        <sz val="10"/>
        <color rgb="FF000000"/>
        <rFont val="Arial"/>
        <family val="2"/>
        <charset val="186"/>
      </rPr>
      <t xml:space="preserve">8 training sessions were delivered by the Social Insurance Board (SIB), with 174 attending. </t>
    </r>
    <r>
      <rPr>
        <sz val="10"/>
        <color rgb="FF000000"/>
        <rFont val="Arial"/>
        <family val="2"/>
        <charset val="186"/>
      </rPr>
      <t xml:space="preserve">One training was conducted online through Digiriigi Akadeemia platform and involved </t>
    </r>
    <r>
      <rPr>
        <b/>
        <sz val="10"/>
        <color rgb="FF000000"/>
        <rFont val="Arial"/>
        <family val="2"/>
        <charset val="186"/>
      </rPr>
      <t>52 participants</t>
    </r>
    <r>
      <rPr>
        <sz val="10"/>
        <color rgb="FF000000"/>
        <rFont val="Arial"/>
        <family val="2"/>
        <charset val="186"/>
      </rPr>
      <t xml:space="preserve">. The remaining seven trainings were delivered in person, including five in Tallinn, one in Tartu, and one in Rakvere. A total of </t>
    </r>
    <r>
      <rPr>
        <b/>
        <sz val="10"/>
        <color rgb="FF000000"/>
        <rFont val="Arial"/>
        <family val="2"/>
        <charset val="186"/>
      </rPr>
      <t>2 training programmes were delivered by ESWA, with 171 participants attending</t>
    </r>
    <r>
      <rPr>
        <sz val="10"/>
        <color rgb="FF000000"/>
        <rFont val="Arial"/>
        <family val="2"/>
        <charset val="186"/>
      </rPr>
      <t>. Ethics and self-care training courses for care workers took place in Saaremaa, Jõhvi, Paide and Tartu during May and early June. From April to early June, digital skills training courses for social workers were conducted in Tartu and Tallinn.
Of the participants who provided feedback on SIB trainings, 73.96% stated that the training provided new knowledge and skills that could be applied in their work. The total number of participants in the training courses delivered during the first half of 2026 was</t>
    </r>
    <r>
      <rPr>
        <b/>
        <sz val="10"/>
        <color rgb="FF000000"/>
        <rFont val="Arial"/>
        <family val="2"/>
        <charset val="186"/>
      </rPr>
      <t xml:space="preserve"> 345  people of whom 212 work with adults and 133 work with children, of them 335 were women and 10 men. Feedback to the training was given by 248 participants
</t>
    </r>
    <r>
      <rPr>
        <sz val="10"/>
        <color rgb="FF000000"/>
        <rFont val="Arial"/>
        <family val="2"/>
        <charset val="186"/>
      </rPr>
      <t xml:space="preserve">Compared to the trainings delivered by the Estonian Association of Social Work (ESWA), participant ratings and response rates were higher in ESWA's trainings (88.9% compared to 55.2% in SIB). One possible explanation is that, starting from April 2026, ESWA systematically introduced QR code-based feedback collection. At the same time, differences in target groups and training formats should also be considered when interpreting the results. The findings indicate that feedback collection for SIB’s e-learning courses, in particular, would benefit from further improvement.                       
</t>
    </r>
    <r>
      <rPr>
        <b/>
        <sz val="10"/>
        <color rgb="FF000000"/>
        <rFont val="Arial"/>
        <family val="2"/>
        <charset val="186"/>
      </rPr>
      <t>The professional profile for the Care Coordinator</t>
    </r>
    <r>
      <rPr>
        <sz val="10"/>
        <color rgb="FF000000"/>
        <rFont val="Arial"/>
        <family val="2"/>
        <charset val="186"/>
      </rPr>
      <t xml:space="preserve"> (tervise teejuht) was completed on 15 June and will serve as the basis for developing a curriculum for the new role integrating health and social care services. Two market research activities were conducted with five potential educational institutions providing training in both fields to identify suitable approaches for commissioning a new integrated health and social care training format. The procurement terms of reference will be submitted to SSSC (State Shared Service Centre) by 1 August.                        
</t>
    </r>
  </si>
  <si>
    <r>
      <t xml:space="preserve">In addition to developing and delivering training programmes, SIB prepared a tender for </t>
    </r>
    <r>
      <rPr>
        <b/>
        <sz val="10"/>
        <color rgb="FF000000"/>
        <rFont val="Arial"/>
        <family val="2"/>
        <charset val="186"/>
      </rPr>
      <t xml:space="preserve">a study to assess the quality of the in-service training landscape in the social sector in Estonia. </t>
    </r>
    <r>
      <rPr>
        <sz val="10"/>
        <color rgb="FF000000"/>
        <rFont val="Arial"/>
        <family val="2"/>
        <charset val="186"/>
      </rPr>
      <t xml:space="preserve">The aim of the study is to analyse the functioning and quality of the continuing professional education and training landscape in the social sector and to make recommendations for its further development. The contract is planned to be signed during the third quarter of 2026.The procurement for the study assessing the quality of the continuing education landscape in the social sector reached the bid evaluation stage on 19 June. Five proposals were submitted, and the selection of the successful bidder is currently being carried out in cooperation with  SSSC.The procurement process has taken significantly longer than expected due to high workload.  
</t>
    </r>
    <r>
      <rPr>
        <b/>
        <sz val="10"/>
        <color rgb="FF000000"/>
        <rFont val="Arial"/>
        <family val="2"/>
        <charset val="186"/>
      </rPr>
      <t>The management and development of the online journal Social Work (</t>
    </r>
    <r>
      <rPr>
        <b/>
        <i/>
        <sz val="10"/>
        <color rgb="FF000000"/>
        <rFont val="Arial"/>
        <family val="2"/>
        <charset val="186"/>
      </rPr>
      <t>Sotsiaaltöö</t>
    </r>
    <r>
      <rPr>
        <b/>
        <sz val="10"/>
        <color rgb="FF000000"/>
        <rFont val="Arial"/>
        <family val="2"/>
        <charset val="186"/>
      </rPr>
      <t>)</t>
    </r>
    <r>
      <rPr>
        <sz val="10"/>
        <color rgb="FF000000"/>
        <rFont val="Arial"/>
        <family val="2"/>
        <charset val="186"/>
      </rPr>
      <t xml:space="preserve"> also continued and has been under the responsibility of the SIB since 2026. The journal forms an important part of the professional development and workplace-based support system for social sector specialists by providing access to up-to-date knowledge, research- and practice-based approaches, and examples of good practice. It supports knowledge sharing, cross-sectoral cooperation, and the development of the professional community, thereby contributing to the improvement of the quality of social services.
</t>
    </r>
    <r>
      <rPr>
        <b/>
        <sz val="10"/>
        <color rgb="FF000000"/>
        <rFont val="Arial"/>
        <family val="2"/>
        <charset val="186"/>
      </rPr>
      <t>ESWA carried out 6 “Master Workshops</t>
    </r>
    <r>
      <rPr>
        <sz val="10"/>
        <color rgb="FF000000"/>
        <rFont val="Arial"/>
        <family val="2"/>
        <charset val="186"/>
      </rPr>
      <t>” that were organised in Tartu (</t>
    </r>
    <r>
      <rPr>
        <i/>
        <sz val="10"/>
        <color rgb="FF000000"/>
        <rFont val="Arial"/>
        <family val="2"/>
        <charset val="186"/>
      </rPr>
      <t>Supporting Young People in Managing Emotions</t>
    </r>
    <r>
      <rPr>
        <sz val="10"/>
        <color rgb="FF000000"/>
        <rFont val="Arial"/>
        <family val="2"/>
        <charset val="186"/>
      </rPr>
      <t>), Tapa (</t>
    </r>
    <r>
      <rPr>
        <i/>
        <sz val="10"/>
        <color rgb="FF000000"/>
        <rFont val="Arial"/>
        <family val="2"/>
        <charset val="186"/>
      </rPr>
      <t>Experiential Workshop on the AART Methodology Based on the Practice of a Secure Residential Child Care Institution</t>
    </r>
    <r>
      <rPr>
        <sz val="10"/>
        <color rgb="FF000000"/>
        <rFont val="Arial"/>
        <family val="2"/>
        <charset val="186"/>
      </rPr>
      <t>), Tallinn (</t>
    </r>
    <r>
      <rPr>
        <i/>
        <sz val="10"/>
        <color rgb="FF000000"/>
        <rFont val="Arial"/>
        <family val="2"/>
        <charset val="186"/>
      </rPr>
      <t>Making Networks Visible – Using Sociometry and Psychodrama to Support Clients</t>
    </r>
    <r>
      <rPr>
        <sz val="10"/>
        <color rgb="FF000000"/>
        <rFont val="Arial"/>
        <family val="2"/>
        <charset val="186"/>
      </rPr>
      <t xml:space="preserve">), Saaremaa </t>
    </r>
    <r>
      <rPr>
        <i/>
        <sz val="10"/>
        <color rgb="FF000000"/>
        <rFont val="Arial"/>
        <family val="2"/>
        <charset val="186"/>
      </rPr>
      <t>(Supporting Families of Children with School Attendance Difficulties</t>
    </r>
    <r>
      <rPr>
        <sz val="10"/>
        <color rgb="FF000000"/>
        <rFont val="Arial"/>
        <family val="2"/>
        <charset val="186"/>
      </rPr>
      <t>), Kaagvere (</t>
    </r>
    <r>
      <rPr>
        <i/>
        <sz val="10"/>
        <color rgb="FF000000"/>
        <rFont val="Arial"/>
        <family val="2"/>
        <charset val="186"/>
      </rPr>
      <t>Experiential Workshop on the AART Methodology Based on the Practice of a Secure Residential Child Care Institution</t>
    </r>
    <r>
      <rPr>
        <sz val="10"/>
        <color rgb="FF000000"/>
        <rFont val="Arial"/>
        <family val="2"/>
        <charset val="186"/>
      </rPr>
      <t xml:space="preserve">), and Narva-Jõesuu. The workshops focused on practices that support the well-being of children, young people, and families, while also </t>
    </r>
    <r>
      <rPr>
        <b/>
        <sz val="10"/>
        <color rgb="FF000000"/>
        <rFont val="Arial"/>
        <family val="2"/>
        <charset val="186"/>
      </rPr>
      <t>promoting peer-to-peer learning among professionals</t>
    </r>
    <r>
      <rPr>
        <sz val="10"/>
        <color rgb="FF000000"/>
        <rFont val="Arial"/>
        <family val="2"/>
        <charset val="186"/>
      </rPr>
      <t>. A total of</t>
    </r>
    <r>
      <rPr>
        <b/>
        <sz val="10"/>
        <color rgb="FF000000"/>
        <rFont val="Arial"/>
        <family val="2"/>
        <charset val="186"/>
      </rPr>
      <t xml:space="preserve"> 58 participants attended the workshops. </t>
    </r>
    <r>
      <rPr>
        <sz val="10"/>
        <color rgb="FF000000"/>
        <rFont val="Arial"/>
        <family val="2"/>
        <charset val="186"/>
      </rPr>
      <t xml:space="preserve">The workshops enhanced participants’ professional knowledge and created opportunities for experience sharing. According to participant feedback, the most valued aspects were practical examples, learning from colleagues, and the opportunity to discuss challenging work situations in a safe environment. These activities contribute to professionals’ continuous development, confidence in their work, and overall well-being.
</t>
    </r>
    <r>
      <rPr>
        <b/>
        <sz val="10"/>
        <color rgb="FF000000"/>
        <rFont val="Arial"/>
        <family val="2"/>
        <charset val="186"/>
      </rPr>
      <t>A resource section "</t>
    </r>
    <r>
      <rPr>
        <i/>
        <sz val="10"/>
        <color rgb="FF000000"/>
        <rFont val="Arial"/>
        <family val="2"/>
        <charset val="186"/>
      </rPr>
      <t xml:space="preserve">Nipinurk" </t>
    </r>
    <r>
      <rPr>
        <sz val="10"/>
        <color rgb="FF000000"/>
        <rFont val="Arial"/>
        <family val="2"/>
        <charset val="186"/>
      </rPr>
      <t xml:space="preserve">has been developed </t>
    </r>
    <r>
      <rPr>
        <b/>
        <sz val="10"/>
        <color rgb="FF000000"/>
        <rFont val="Arial"/>
        <family val="2"/>
        <charset val="186"/>
      </rPr>
      <t>on ESWA's website</t>
    </r>
    <r>
      <rPr>
        <sz val="10"/>
        <color rgb="FF000000"/>
        <rFont val="Arial"/>
        <family val="2"/>
        <charset val="186"/>
      </rPr>
      <t xml:space="preserve">, bringing together practical materials, recommendations, and resources that support professional well-being and self-care. Further development work is ongoing to create more interactive content and a new stucture for the "Nipinurk" has been developed.
The development of the </t>
    </r>
    <r>
      <rPr>
        <b/>
        <sz val="10"/>
        <color rgb="FF000000"/>
        <rFont val="Arial"/>
        <family val="2"/>
        <charset val="186"/>
      </rPr>
      <t>ethics compass and the completion of the social workers’ professional confidence study have been postponed to the second half of 2026</t>
    </r>
    <r>
      <rPr>
        <sz val="10"/>
        <color rgb="FF000000"/>
        <rFont val="Arial"/>
        <family val="2"/>
        <charset val="186"/>
      </rPr>
      <t xml:space="preserve"> due to procurement procedures, the need for required approvals, and the workload of research partners. Regarding ethics compass, cooperation has been initiated between</t>
    </r>
    <r>
      <rPr>
        <sz val="10"/>
        <color rgb="FFFF0000"/>
        <rFont val="Arial"/>
        <family val="2"/>
        <charset val="186"/>
      </rPr>
      <t xml:space="preserve"> </t>
    </r>
    <r>
      <rPr>
        <sz val="10"/>
        <color rgb="FF000000"/>
        <rFont val="Arial"/>
        <family val="2"/>
        <charset val="186"/>
      </rPr>
      <t xml:space="preserve">ESWA's Ethics Council, the University of Tartu Centre for Ethics, and other partners with the aim of </t>
    </r>
    <r>
      <rPr>
        <b/>
        <sz val="10"/>
        <color rgb="FF000000"/>
        <rFont val="Arial"/>
        <family val="2"/>
        <charset val="186"/>
      </rPr>
      <t>creating a practical tool to support ethical decision-making by social sector professionals.</t>
    </r>
    <r>
      <rPr>
        <sz val="10"/>
        <color rgb="FF000000"/>
        <rFont val="Arial"/>
        <family val="2"/>
        <charset val="186"/>
      </rPr>
      <t xml:space="preserve"> The signing of the agreement has been delayed due to ongoing negotiations regarding the ownership of intellectual property rights. The Ministry of Social Affairs and SSSC have provided their respective positions in accordance with the terms of the Cooperation Agreement. In parallel, preparations for the study have been launched in cooperation with the Association of Estonian Cities and Municipalities and research partners. The Ministry of Social Affairs has provided feedback on the terms of reference to ensure that the study meets the deadline and provides adequate input for designing a workplace-based support system to be piloted, taking into account the needs of practitioners.                 .                                                                      
</t>
    </r>
    <r>
      <rPr>
        <b/>
        <sz val="10"/>
        <color rgb="FF000000"/>
        <rFont val="Arial"/>
        <family val="2"/>
        <charset val="186"/>
      </rPr>
      <t>Preparations have also begun for a workplace well-being hackathon</t>
    </r>
    <r>
      <rPr>
        <sz val="10"/>
        <color rgb="FF000000"/>
        <rFont val="Arial"/>
        <family val="2"/>
        <charset val="186"/>
      </rPr>
      <t xml:space="preserve"> to be held in November 2026, with the objective of </t>
    </r>
    <r>
      <rPr>
        <u/>
        <sz val="10"/>
        <color rgb="FF000000"/>
        <rFont val="Arial"/>
        <family val="2"/>
        <charset val="186"/>
      </rPr>
      <t xml:space="preserve">developing and piloting solutions that support the well-being of social sector professionals. </t>
    </r>
    <r>
      <rPr>
        <sz val="10"/>
        <color rgb="FF000000"/>
        <rFont val="Arial"/>
        <family val="2"/>
        <charset val="186"/>
      </rPr>
      <t>These activities lay the foundation for the development and future implementation of a support system that strengthens workplace well-being and professional confidence in the social sector.</t>
    </r>
  </si>
  <si>
    <r>
      <rPr>
        <b/>
        <sz val="10"/>
        <color rgb="FF000000"/>
        <rFont val="Arial"/>
        <family val="2"/>
        <charset val="186"/>
      </rPr>
      <t>Programme Component coordination (MoER):</t>
    </r>
    <r>
      <rPr>
        <sz val="10"/>
        <color rgb="FF000000"/>
        <rFont val="Arial"/>
        <family val="2"/>
        <charset val="186"/>
      </rPr>
      <t xml:space="preserve"> 
During the reporting period, the activities of the Swiss–Estonian Cooperation Programme continued to be implemented and further developed in line with the programme objectives. The activities carried out contributed to strengthening the knowledge and competencies of professionals in the education sector, as well as parents, enhancing their capacity to operate effectively in multilingual and multicultural learning environments, and supporting the educational integration of children from diverse linguistic and cultural backgrounds. The Component 3 team actively participated in regular meetings, including online workshops with the Bern University of Applied Sciences, as well as meetings of the Support Measure Steering Committee and Task Force. These meetings enable the exchange of information and experience and ensure coordinated action.</t>
    </r>
  </si>
  <si>
    <r>
      <rPr>
        <b/>
        <sz val="10"/>
        <color rgb="FF000000"/>
        <rFont val="Arial"/>
        <family val="2"/>
        <charset val="186"/>
      </rPr>
      <t>Activity 1. In-service training for professionals in the education sector:</t>
    </r>
    <r>
      <rPr>
        <sz val="10"/>
        <color rgb="FF000000"/>
        <rFont val="Arial"/>
        <family val="2"/>
        <charset val="186"/>
      </rPr>
      <t xml:space="preserve"> During the reporting period, the implementation of Activity 1 continued with a focus on updating the knowledge and skills of professionals in the education sector for working in multilingual and multicultural environments. Activities included the development of new continuing professional development (CPD) curricula, the revision of existing curricula, and the delivery of professional development and capacity-building programmes based on these curricula. The programme has clearly progressed from the preparation phase to the implementation phase, and the volume of training activities has increased significantly compared to the previous year.
The target for output indicator OPI 2.8, "Number of in service training modules developed," is 8 modules by 2028. During the reporting period, a total of 11 in-service training curricula were either newly developed or substantially updated under the programme. These included preparatory education development programmes as well as training courses on culturally responsive and language-aware teaching. Consequently, the target value for this output indicator has already been exceeded.
The target for output indicators OPI 2.12, "Number of professionals trained," is 4,000 graduates in the education sector by the end of 2028. During the reporting period, a total of 303 professionals completed training courses, development programmes, and micro-credential programmes. Of these, 293 were women (96.7%) and 10 were men (3.3%). The largest participant group consisted of teachers (228 graduates; 75.2%), followed by support specialists (40; 13.2%) and school leaders (34; 11.2%). In addition, one youth work professional completed the training.
The participant profile demonstrates that the programme has been most successful in reaching teachers, support specialists, and school leaders, who constitute clearly defined and well-established target groups within educational institutions. In contrast, participation by youth work professionals has remained limited, with only one participant completing training during the reporting period. This lower participation does not reflect a lack of relevance of the training but is primarily attributable to the specific characteristics of the target group. Compared to the education sector, where information is disseminated through well-established professional networks and training providers have long-standing cooperation with schools and kindergartens, the youth sector is organisationally more fragmented and lacks comparable communication and cooperation mechanisms. As engaging youth work professionals represents a relatively new direction for the programme, reaching this target group will require the establishment of additional partnerships and the further development of targeted communication and outreach activities.
The target for immediate outcome indicators OCIM 2.1, "Share of trained professionals who have acquired new knowledge and skills and are ready to work also with people from different cultural and linguistic backgrounds," is 80%. Based on immediate participant feedback collected during the reporting period, this target has been exceeded. On average, 88.4% of participants completing the training courses, development programmes, and micro-credential programmes indicated that they were prepared to apply the knowledge and skills acquired in their work with learners, parents, and colleagues from diverse linguistic and cultural backgrounds. This result confirms that the continuing professional development provided under the programme effectively meets the needs of the target group and supports the development of competencies required for working in multilingual and multicultural learning environments.
The target for outcome indicator OCIN 2.1, "Share of trained professionals using new skills and knowledge working also with people from different cultural and linguistic backgrounds," is 70%. This indicator is measured six months after completion of the training. By the end of the reporting period, insufficient time had elapsed to collect the necessary data; therefore, progress towards this indicator will be assessed during subsequent reporting periods.
Overall, the results achieved during the reporting period demonstrate that Activity 1 is progressing towards its intended outcomes. The training courses have been successfully developed, the target for output indicator OPI 2.8–2.11 has been exceeded, participants' readiness to apply the acquired knowledge surpasses the target for the immediate outcome indicator, and the volume of training activities continues to increase steadily. The next phase of the programme will focus on expanding training provision, increasing participant numbers, and measuring the longer-term impact through outcome indicator OCIN 2.1–2.2.
Main risks and challenges
During the reporting period, the implementation of Activity 1 faced several external and operational challenges, primarily affecting training enrolment and the timing of activities. The most significant challenge was the large number of free professional development opportunities available to professionals, which increased competition for the attention of the target group and made it more difficult to achieve full enrolment in several training cohorts. In addition, some activities coincided with a period during which educational institutions were heavily engaged in preparations for the transition to Estonian-language education and the implementation of preparatory education, limiting the target group's availability to participate in training. As a result, participant numbers in some courses remained below expectations. Nevertheless, this has not affected the quality of the activities or the achievement of the programme's substantive objectives. To improve accessibility, the programme has expanded the provision of regional training opportunities and strengthened targeted communication and cooperation with educational institutions and local authorities.
</t>
    </r>
  </si>
  <si>
    <r>
      <rPr>
        <b/>
        <sz val="10"/>
        <color rgb="FF000000"/>
        <rFont val="Arial"/>
        <family val="2"/>
        <charset val="186"/>
      </rPr>
      <t>Activity 2. Informing, consulting and supporting parents, including parents from different cultural and linguistic backgrounds:</t>
    </r>
    <r>
      <rPr>
        <sz val="10"/>
        <color rgb="FF000000"/>
        <rFont val="Arial"/>
        <family val="2"/>
        <charset val="186"/>
      </rPr>
      <t xml:space="preserve"> 
During the reporting period, systematic implementation and further development of parent-focused activities, that already launched in the second half of 2025, continued. Focus was on delivering training programmes for parents and publishing digital learning materials (video lectures). During the reporting period, a new central online platform called “Õpime koos” (Learning Together) was developed for parents, bringing together practical information materials, video lectures, and guidance resources in one place. It improves access to high-quality information and acts as a sustainable resource that will remain available beyond the lifetime of the programme. To support the launch of the platform, preparations for systematic communication and outreach activities were initiated in cooperation with our communications partner: a communication plan was developed, visual communication materials (posters and leaflets) were produced, and a targeted dissemination strategy was prepared in cooperation with local authorities and educational institutions. Ten municipalities with greater cultural diversity were identified, where outreach activities will commence in August 2026. 
Since May 2026, an expert with a background in educational psychology, is responsible for developing evidence-based learning and guidance materials for parents that strengthens the quality of programme activities and helps ensure that all newly developed materials are based on current research and respond to the needs of the target group.
During the reporting period, Output OPI 1.11 was supported through the delivery of four training programmes that consisted of 12 seminars. In addition, 5 new educational video lectures were published, providing parents with practical and flexible support to aid children's learning and development in multilingual and multicultural environments. Preparatory activities were also launched for the organisation of 4 large conferences in different cities of Estonia, two of them scheduled for the second half of 2026.
Immediate Outcome OCIM(b) 1.1 Four identical training programmes for parents were implemented in Kiviõli, Maardu, Rakvere and Tallinn, consisting of twelve face-to-face seminars. As the programmes are identical in content and objectives, the results are presented in an aggregated overview.
A total of 77 parents participated in the training programmes, of whom 92% were women and 8% were men. Eighteen participants (approximately 23%) were recent immigrants. Five participants (approximately 6.5%) had a refugee background unrelated to the war in Ukraine, while seven participants (approximately 9%) were refugees from Ukraine.
Russian was the most common native language among participants, representing 63 participants (approximately 82%). Five participants reported Estonian as their native language, six Ukrainian, and one English.
Participant profile confirms that the activities successfully reached the intended target groups, including recent immigrants and parents with refugee backgrounds, thereby contributing to the programme objective of improving access to educational information for families from diverse linguistic and cultural backgrounds and strengthening cooperation between parents and educational institutions.
The objective of Immediate Outcome OCIM(b) 1.1 is to assess the immediate impact of the parent-focused activities, including participants' satisfaction and their assessment of the usefulness of the knowledge and skills acquired in supporting their children's educational pathways and participating more actively in Estonian society.
Based on immediate feedback, participants' average satisfaction reached 88.2% of the maximum possible score, exceeding the programme target of 75% by 13.2 percentage points. This result confirms that the content, structure and methodology of the training programmes met the needs of the target group and contributed to achieving the intended output.
Participants particularly highlighted the practical orientation of the training, the relevance of its content, and the immediate applicability of the knowledge gained. Participants also appreciated the opportunity to exchange experiences with other parents and to gain additional knowledge about child development, motivation, and creating learning-supportive environments.
The feedback indicates that the training programmes increased parents' awareness, confidence, and practical skills in supporting their children's educational pathways. This is particularly significant for families from diverse linguistic and cultural backgrounds, who may require additional information and guidance regarding the Estonian education system, school´s expectations, and effective cooperation with educational institutions. The findings demonstrate that the activities contribute to the programme objective of strengthening the role of parents in supporting their children's education and increasing the engagement of culturally and linguistically diverse families in the educational process.
The objective of Outcome OCIN 1.1 is to assess the longer-term impact of activities on parents' readiness to support their children's educational pathways and participate more actively in Estonian society. The indicator is measured six months after participation, enabling an assessment of the sustainability of the training program’s impact. The six-month follow-up assessment presented in this reporting period is based on feedback collected from participants in training programmes held in Narva, Kohtla-Järve and Sillamäe. The findings indicate that the impact of the training programmes has been sustained beyond the completion of the activities. The satisfaction score of 84% significantly exceeds the programme target of 50%, confirming the longer-term impact of the activities.
These outcomes contribute to the programme objective of promoting the integration of families from diverse linguistic and cultural backgrounds, as active parental involvement in children's education supports both successful adaptation to the education system and broader social inclusion of the family.
</t>
    </r>
  </si>
  <si>
    <r>
      <rPr>
        <b/>
        <sz val="10"/>
        <color rgb="FF000000"/>
        <rFont val="Arial"/>
        <family val="2"/>
        <charset val="186"/>
      </rPr>
      <t xml:space="preserve">Programme Component coordination (MoI):                                                                                                                                                                                                                                                      </t>
    </r>
    <r>
      <rPr>
        <sz val="10"/>
        <color rgb="FF000000"/>
        <rFont val="Arial"/>
        <family val="2"/>
        <charset val="186"/>
      </rPr>
      <t>In 2026, Component 4 commenced full-scale implementation. During the reporting period, activities were carried out in accordance with the 2026 Action Plan. The Component 4 team actively participated in regular coordination meetings, including online workshops organized by the Bern University of Applied Sciences, as well as meetings of the Support Measure Steering Committee and the Task Force. In addition, representatives of Component 4, together with colleagues from Component 1, took part in a study visit to Switzerland in April 2026. These meetings and joint activities provided valuable opportunities to exchange knowledge and experiences, strengthen cooperation among project partners, and ensure effective coordination and alignment of the Support Measure implementation.</t>
    </r>
  </si>
  <si>
    <t>Programme Characteristics</t>
  </si>
  <si>
    <t xml:space="preserve">To be filled in by Programme Operator </t>
  </si>
  <si>
    <t xml:space="preserve">To be filled in by Switzerland (see SAP characteristics) </t>
  </si>
  <si>
    <t xml:space="preserve">Programme Component Name </t>
  </si>
  <si>
    <t xml:space="preserve">Swiss Contribution CHF </t>
  </si>
  <si>
    <t xml:space="preserve">Specific Objective </t>
  </si>
  <si>
    <t xml:space="preserve">Thematic Area </t>
  </si>
  <si>
    <t xml:space="preserve">(in-country) Geographic Focus </t>
  </si>
  <si>
    <t>Name Programme Component Operator</t>
  </si>
  <si>
    <t>Type of entity</t>
  </si>
  <si>
    <t>Planned duration</t>
  </si>
  <si>
    <t>Sector 1</t>
  </si>
  <si>
    <t>Sector 2 (SDC only)</t>
  </si>
  <si>
    <t>Sector 3 (SDC only)</t>
  </si>
  <si>
    <t>PM Support RIO CC Adaptations</t>
  </si>
  <si>
    <t>PM Support RIO CC mitigation</t>
  </si>
  <si>
    <t>PM Support RIO CC desertification</t>
  </si>
  <si>
    <t>PM Support Social Inlcusion</t>
  </si>
  <si>
    <t>PM Gender</t>
  </si>
  <si>
    <t>PM Governance</t>
  </si>
  <si>
    <t>PM Disabilities</t>
  </si>
  <si>
    <t>PM Digitalisation</t>
  </si>
  <si>
    <t>PM Support RIO biodiversity</t>
  </si>
  <si>
    <t>PSP/PA</t>
  </si>
  <si>
    <t>maximum 40 characters</t>
  </si>
  <si>
    <t>in CHF</t>
  </si>
  <si>
    <t>according to Art. 2.2 Regulations</t>
  </si>
  <si>
    <t>according to Art. 2.4 Regulations</t>
  </si>
  <si>
    <t>Start</t>
  </si>
  <si>
    <t>End</t>
  </si>
  <si>
    <t>use title, not code</t>
  </si>
  <si>
    <t>Migration / Public Safety</t>
  </si>
  <si>
    <t>Migration &amp; Integration</t>
  </si>
  <si>
    <t>national coverage</t>
  </si>
  <si>
    <t>National administration</t>
  </si>
  <si>
    <t>Democratic participation</t>
  </si>
  <si>
    <t>Public sector policy and administrative management</t>
  </si>
  <si>
    <t>Not targeted</t>
  </si>
  <si>
    <t>Principal</t>
  </si>
  <si>
    <t>Significant</t>
  </si>
  <si>
    <t>Ministry of Social Affairs</t>
  </si>
  <si>
    <t>Ministry of Education and Research</t>
  </si>
  <si>
    <t>Education</t>
  </si>
  <si>
    <t>Ministry of Interior</t>
  </si>
  <si>
    <t>Procurement Plan</t>
  </si>
  <si>
    <t>Programme Component or Project Ref. No</t>
  </si>
  <si>
    <t>Contract Name</t>
  </si>
  <si>
    <t>If applicable, planned deadline for submitting documentation to Swiss "non objection"</t>
  </si>
  <si>
    <t>Launch of tender planned</t>
  </si>
  <si>
    <t>Tender notice will be submitted to Swiss side before publication</t>
  </si>
  <si>
    <t>English translation of tender documents will be made available to bidders</t>
  </si>
  <si>
    <t>Actual launch of tender (publication of tender notice)</t>
  </si>
  <si>
    <t>Contract signature planned</t>
  </si>
  <si>
    <t>Actual contract signature</t>
  </si>
  <si>
    <t xml:space="preserve"> Contract completion planned</t>
  </si>
  <si>
    <t>Actual contract completion</t>
  </si>
  <si>
    <t>Initially estimated costs</t>
  </si>
  <si>
    <t xml:space="preserve">Actual costs based on signed contracts
</t>
  </si>
  <si>
    <t xml:space="preserve">Contractor </t>
  </si>
  <si>
    <t>Expenditures incurred based on signed contracts</t>
  </si>
  <si>
    <t xml:space="preserve">Comments </t>
  </si>
  <si>
    <t>quarter / year</t>
  </si>
  <si>
    <t>yes/no</t>
  </si>
  <si>
    <t>date</t>
  </si>
  <si>
    <t>name</t>
  </si>
  <si>
    <t>status/ appeals/ cancelling or repetion of tender (incl. reason)/ numbers of bidders and rejected bids/risks/ irregularities related to the tender/ difficulties with the the Contractor/ suspension of works etc.</t>
  </si>
  <si>
    <t xml:space="preserve">Development and implementation of digital tools </t>
  </si>
  <si>
    <t>IV/2026</t>
  </si>
  <si>
    <t xml:space="preserve">yes </t>
  </si>
  <si>
    <t>no</t>
  </si>
  <si>
    <t>I/2027</t>
  </si>
  <si>
    <t>IV/2027</t>
  </si>
  <si>
    <t>II/2027</t>
  </si>
  <si>
    <t>I/2028</t>
  </si>
  <si>
    <t>Development and piloting a volunteer programme I (E-learning course for volunteers - base module)</t>
  </si>
  <si>
    <t>IV/2025</t>
  </si>
  <si>
    <t>yes</t>
  </si>
  <si>
    <t>29/09/2025</t>
  </si>
  <si>
    <t>IV/2025-I/2026</t>
  </si>
  <si>
    <t>III/2026</t>
  </si>
  <si>
    <t>AS BCS Koolitus</t>
  </si>
  <si>
    <t>The e-course has been completed and accepted by the contracting authority. The contract has been successfully concluded.</t>
  </si>
  <si>
    <t>Development and piloting a volunteer programme II (E-learning course for volunteers - complementary module)</t>
  </si>
  <si>
    <t>III/2027</t>
  </si>
  <si>
    <t>II/2028</t>
  </si>
  <si>
    <t>Postponed compared to the plan presented in the previous Reimbursement Request, as we don't have enough information yet to start preparing additional e-course. Mapping the needs of the new course takes place at the end of the year - at the beginning of the new year</t>
  </si>
  <si>
    <t>Implementation of activities introducing Estonian culture and customs space</t>
  </si>
  <si>
    <t>III/2025</t>
  </si>
  <si>
    <t>23.09.2025</t>
  </si>
  <si>
    <t>The procurement was divided into four lots, resulting in four separate contracts, as described in the rows below. The implementation of all contracts is currently ongoing.</t>
  </si>
  <si>
    <t>18.11.2025</t>
  </si>
  <si>
    <t>Targa Eesti Instituut OÜ</t>
  </si>
  <si>
    <t>Lot 1 of procurement Implementation of activities introducing Estonian culture and customs space</t>
  </si>
  <si>
    <t>ImmiSchool-Uusimmigrantide Koolituskeskus OÜ</t>
  </si>
  <si>
    <t>Lot 2 of procurement Implementation of activities introducing Estonian culture and customs space</t>
  </si>
  <si>
    <t>Lot 3 of procurement Implementation of activities introducing Estonian culture and customs space</t>
  </si>
  <si>
    <t>Lot 4 of procurement Implementation of activities introducing Estonian culture and customs space</t>
  </si>
  <si>
    <t>Development and providing activities to introduce Estonian cultural space and increase social connections</t>
  </si>
  <si>
    <t>II-III2026</t>
  </si>
  <si>
    <t>I-II/2028</t>
  </si>
  <si>
    <t xml:space="preserve">Advertising new possibilities and positive changes in social care- and child protection studies and work environment </t>
  </si>
  <si>
    <r>
      <t>According to the Procurement Plan annexed to the Support Measure Agreement, it was foreseen that a procurement procedure with an estimated value of 400 000 EUR would be carried out for advertising new possibilities and positive changes in social care- and child protection studies and work environment.
However, following several thorough discussions, the approach has been revised as described below:
Initial brainstorming and preparations were made in 2025 and it was decided that the campaign will not be carried out on such a large scale as it was originally planned</t>
    </r>
    <r>
      <rPr>
        <sz val="11"/>
        <color rgb="FF000000"/>
        <rFont val="Arial Narrow"/>
        <family val="2"/>
        <charset val="186"/>
      </rPr>
      <t xml:space="preserve">. </t>
    </r>
    <r>
      <rPr>
        <b/>
        <sz val="11"/>
        <color rgb="FF000000"/>
        <rFont val="Arial Narrow"/>
        <family val="2"/>
        <charset val="186"/>
      </rPr>
      <t xml:space="preserve">Instead of one large procurement and reputation campaign,  several smaller activities' approach is chosen that support improving the reputation of the field based on different needs. A set of these activities will be carried out by Social Insurance Board. Activities will be implemented during 2027-2028. 
</t>
    </r>
    <r>
      <rPr>
        <sz val="11"/>
        <color rgb="FF000000"/>
        <rFont val="Arial Narrow"/>
        <family val="2"/>
        <charset val="186"/>
      </rPr>
      <t>Three main directions to improve the image of the social sector:
-</t>
    </r>
    <r>
      <rPr>
        <b/>
        <sz val="11"/>
        <color rgb="FF000000"/>
        <rFont val="Arial Narrow"/>
        <family val="2"/>
        <charset val="186"/>
      </rPr>
      <t>Increasing visibility and positive awareness of the sector</t>
    </r>
    <r>
      <rPr>
        <sz val="11"/>
        <color rgb="FF000000"/>
        <rFont val="Arial Narrow"/>
        <family val="2"/>
        <charset val="186"/>
      </rPr>
      <t xml:space="preserve">
Promoting social work through targeted communication, positive stories, media cooperation, and highlighting the impact of social services and project outputs.
-</t>
    </r>
    <r>
      <rPr>
        <b/>
        <sz val="11"/>
        <color rgb="FF000000"/>
        <rFont val="Arial Narrow"/>
        <family val="2"/>
        <charset val="186"/>
      </rPr>
      <t>Strengthening service quality and trust in the sector</t>
    </r>
    <r>
      <rPr>
        <sz val="11"/>
        <color rgb="FF000000"/>
        <rFont val="Arial Narrow"/>
        <family val="2"/>
        <charset val="186"/>
      </rPr>
      <t xml:space="preserve">
Supporting municipalities with practical guidelines, quality standards, tools, and knowledge-sharing to ensure more consistent and high-quality social services.
-</t>
    </r>
    <r>
      <rPr>
        <b/>
        <sz val="11"/>
        <color rgb="FF000000"/>
        <rFont val="Arial Narrow"/>
        <family val="2"/>
        <charset val="186"/>
      </rPr>
      <t>Developing a data-driven and transparent sector</t>
    </r>
    <r>
      <rPr>
        <sz val="11"/>
        <color rgb="FF000000"/>
        <rFont val="Arial Narrow"/>
        <family val="2"/>
        <charset val="186"/>
      </rPr>
      <t xml:space="preserve">
Using data and indicators to demonstrate the impact, quality, and development of social services and to strengthen public trust in the sector.      </t>
    </r>
  </si>
  <si>
    <t>&lt;</t>
  </si>
  <si>
    <t>Deckblatt Rechnung E-Billing / Coversheet Invoice E-Billing</t>
  </si>
  <si>
    <t>Buchungsinformationen / Booking information</t>
  </si>
  <si>
    <t>Referenz-Nummer / Reference Number</t>
  </si>
  <si>
    <t xml:space="preserve">REF-1006-66300 </t>
  </si>
  <si>
    <t>Projektnummer / Support Measure Identification Code</t>
  </si>
  <si>
    <t>Kreditorennummer / Creditor Number</t>
  </si>
  <si>
    <t>Name des Kreditors / Creditor's name</t>
  </si>
  <si>
    <t>Ministry of Finance of the Republic of Estonia</t>
  </si>
  <si>
    <t>Strasse / Street</t>
  </si>
  <si>
    <t>Suur-Ameerika 1</t>
  </si>
  <si>
    <t>PLZ, Ort / Zip code and place</t>
  </si>
  <si>
    <t>10122 Tallinn</t>
  </si>
  <si>
    <t>Währung / Currency:</t>
  </si>
  <si>
    <t>Betrag / Reimbursement requested from Switzerland</t>
  </si>
  <si>
    <t>Aufteilung nach Programmkomponente / Breakdown by programme component</t>
  </si>
  <si>
    <t>Zahladresse / Account details</t>
  </si>
  <si>
    <t>Kontoinhaber / bank account holder (if different from creditor name)</t>
  </si>
  <si>
    <t>IBAN-Nr.:</t>
  </si>
  <si>
    <t>EE891010220034796011</t>
  </si>
  <si>
    <t>SWIFT:</t>
  </si>
  <si>
    <t>EEUHEE2X</t>
  </si>
  <si>
    <t>Reference:</t>
  </si>
  <si>
    <t>Bankbezeichnung / Name and address of the bank</t>
  </si>
  <si>
    <t>SEB, Tornimäe 2, 15010 Tallinn, Estonia</t>
  </si>
  <si>
    <r>
      <rPr>
        <b/>
        <sz val="10"/>
        <rFont val="Arial"/>
        <family val="2"/>
        <charset val="186"/>
      </rPr>
      <t>Swiss experts and partners:</t>
    </r>
    <r>
      <rPr>
        <sz val="10"/>
        <rFont val="Arial"/>
        <family val="2"/>
        <charset val="186"/>
      </rPr>
      <t xml:space="preserve">
Cooperation with the Swiss partner, Bern University of Applied Sciences, is active, constructive and valuable, and has proceeded in accordance with the agreed action plan for 2026.
During the first part of 2026, the following activities took place:
* in April, a joint study visit to Switzerland was organised for Components 1 and 4, with participation of the Swiss Contribution Office representatives;
* initial expert feedback was provided on the “Volunteers Engagement Model” within Component 1 (to be continued in the next reporting period);
* within Component 2, a series of workshops were held on topics including integrating practical training into social work curricula, clinical social work competences, employee support, and continuing education in social work;
* within Component 3, co-teaching at Tallinn University was carried out, and several workshops were held addressing different conceptualisations of multilingualism and multiculturalism, as well as the integration of multiculturalism into initial teacher training;
* Swiss experts are contributing to the preparation of a forthcoming manual of the National Foundation of Civil Society under Component 4.</t>
    </r>
  </si>
  <si>
    <r>
      <t xml:space="preserve">Activity 2: Inclusion of volunteers in the integration activities: 
</t>
    </r>
    <r>
      <rPr>
        <sz val="10"/>
        <color rgb="FF000000"/>
        <rFont val="Arial"/>
        <family val="2"/>
        <charset val="186"/>
      </rPr>
      <t>During the reporting period, the volunteer involvement model was completed in cooperation with an external partner, including role descriptions, cooperation agreements and volunteer pathways. The development process ensured alignment with integration services and practical implementation. Following the finalisation of the model, preparations for pilot implementation were also initiated.
The volunteer e-course on the Digiriigi Akadeemia (Digital State Academy) platform was completed and tested with volunteers. The course is 8 academic hours long and designed as a mandatory entry-level training for all new volunteers.
In parallel, the INSA volunteer leaders model was developed together with 13 volunteers through six dedicated meetings, defining roles, expectations and support needs for volunteer leaders.
Development of a client management and self-service environment supporting volunteer involvement was initiated, enabling volunteers to register, manage their data and participate in activities. Preparations were made to integrate e-course results into this system.
A volunteer communication framework was initiated in cooperation with a communication partner to increase awareness and engagement.
During the reporting period, a volunteer summer seminar (with nearly 80 participants) was organised to acknowledge and thank existing volunteers, celebrate the progress made in the volunteer field and strengthen the sense of community. These activities supported volunteer motivation, engagement and retention. In addition, a training on empathetic communication was provided to volunteers as a supporting activity, strengthening their communication skills. Approximately 35 people participated in this first additional training sessions, which lasted 1.5 hours.
A recruitment process was initiated to find a volunteer field specialist, who will act as the main contact point for volunteers and support coordination of activities.
International cooperation continued, including participation in a conference in Lithuania and a study visit to Switzerland. Cooperation with the Bern University of Applied Sciences was also initiated to provide expert feedback on parts of the volunteer model in the next reporting period.</t>
    </r>
  </si>
  <si>
    <r>
      <rPr>
        <b/>
        <u/>
        <sz val="10"/>
        <color rgb="FF000000"/>
        <rFont val="Arial"/>
        <family val="2"/>
        <charset val="186"/>
      </rPr>
      <t xml:space="preserve">Activity 1: curricula and professional qualification modification: 
</t>
    </r>
    <r>
      <rPr>
        <sz val="10"/>
        <color rgb="FF000000"/>
        <rFont val="Arial"/>
        <family val="2"/>
        <charset val="186"/>
      </rPr>
      <t xml:space="preserve">In the first half of 2026, activities prepared during 2025 were continued. In the end of 2025, the first version of the </t>
    </r>
    <r>
      <rPr>
        <b/>
        <sz val="10"/>
        <color rgb="FF000000"/>
        <rFont val="Arial"/>
        <family val="2"/>
        <charset val="186"/>
      </rPr>
      <t>Social Sector Competence Framework was completed</t>
    </r>
    <r>
      <rPr>
        <sz val="10"/>
        <color rgb="FF000000"/>
        <rFont val="Arial"/>
        <family val="2"/>
        <charset val="186"/>
      </rPr>
      <t>. 
During the first half of 2026, work continued with the development of</t>
    </r>
    <r>
      <rPr>
        <b/>
        <sz val="10"/>
        <color rgb="FF000000"/>
        <rFont val="Arial"/>
        <family val="2"/>
        <charset val="186"/>
      </rPr>
      <t xml:space="preserve"> competence profiles for 13 occupations/occupation roles</t>
    </r>
    <r>
      <rPr>
        <sz val="10"/>
        <color rgb="FF000000"/>
        <rFont val="Arial"/>
        <family val="2"/>
        <charset val="186"/>
      </rPr>
      <t xml:space="preserve">:
- in social work: Social Work Assistant, Social Worker, Head of Social Services; 
- in child protection: Family Worker, Child Protection Worker, Head of Child Protection Services;
- in support work: Day Activity Instructor, Support Worker in Special Care Services; 
- in care work: Home Care Worker, Care Worker (Level 3), Care Worker (Level 4), Assistant Care Worker; 
- Care Coordinator (tervise teejuht) - a new occupation in Estonia, which aims to integrate social and healthcare services. 
In addition, preparatory activities were carried out for the development of competence profiles for further occupations and for the refinement of the sector-wide competence framework in the second half of 2026.
For the </t>
    </r>
    <r>
      <rPr>
        <b/>
        <sz val="10"/>
        <color rgb="FF000000"/>
        <rFont val="Arial"/>
        <family val="2"/>
        <charset val="186"/>
      </rPr>
      <t>development of social sector qualification principles</t>
    </r>
    <r>
      <rPr>
        <sz val="10"/>
        <color rgb="FF000000"/>
        <rFont val="Arial"/>
        <family val="2"/>
        <charset val="186"/>
      </rPr>
      <t xml:space="preserve"> procurement partners were selected in early spring. As part of this activity, a project kick-off seminar was held on 19.05, bringing together key stakeholders from across the sector, including employers, practitioners, representatives of service user groups, sector experts, and policymakers. During the seminar, participants validated the initial principles and approach for the qualification framework that had been developed by the Ministry of Social Affairs and procurement partners. The subsequent work on developing the qualification principles is being carried out through </t>
    </r>
    <r>
      <rPr>
        <b/>
        <sz val="10"/>
        <color rgb="FF000000"/>
        <rFont val="Arial"/>
        <family val="2"/>
        <charset val="186"/>
      </rPr>
      <t>thematic working groups (1. children and families, 2. adult care and support, 3. counselling and specific intervention, 4. management)</t>
    </r>
    <r>
      <rPr>
        <sz val="10"/>
        <color rgb="FF000000"/>
        <rFont val="Arial"/>
        <family val="2"/>
        <charset val="186"/>
      </rPr>
      <t xml:space="preserve">. By the end of June 2026, the working groups had been established and their membership confirmed.
All of this has been </t>
    </r>
    <r>
      <rPr>
        <b/>
        <sz val="10"/>
        <color rgb="FF000000"/>
        <rFont val="Arial"/>
        <family val="2"/>
        <charset val="186"/>
      </rPr>
      <t>part of the Government of the Republic's action plan</t>
    </r>
    <r>
      <rPr>
        <sz val="10"/>
        <color rgb="FF000000"/>
        <rFont val="Arial"/>
        <family val="2"/>
        <charset val="186"/>
      </rPr>
      <t xml:space="preserve"> - action point no. 409, according to which the Ministry of Social Affairs was </t>
    </r>
    <r>
      <rPr>
        <u/>
        <sz val="10"/>
        <color rgb="FF000000"/>
        <rFont val="Arial"/>
        <family val="2"/>
        <charset val="186"/>
      </rPr>
      <t>to create competency models and qualification principles for the social sector workforce by June 2026, which are in line with innovation in the education sector and the changed needs of the labour market and clients.</t>
    </r>
    <r>
      <rPr>
        <sz val="10"/>
        <color rgb="FF000000"/>
        <rFont val="Arial"/>
        <family val="2"/>
        <charset val="186"/>
      </rPr>
      <t xml:space="preserve"> This action was completed on 30 June 2026 by presenting it at the Social Affairs Minister's briefing.These activities lay the groundwork for a modern, competence-based workforce development system in the social sector. They support the alignment of education, professional qualifications and labour market needs, strengthen career pathways and professional development opportunities, and contribute to more consistent service quality by establishing a shared understanding of occupational competences across the sector. This is the first time in Estonia that such a systematic approach has been taken to developing the workforce in the social sector.
During the first quarter of 2026, the Ministry of Social Affairs conducted a public procurement to identify a partner for carrying out the </t>
    </r>
    <r>
      <rPr>
        <b/>
        <sz val="10"/>
        <color rgb="FF000000"/>
        <rFont val="Arial"/>
        <family val="2"/>
        <charset val="186"/>
      </rPr>
      <t>study “</t>
    </r>
    <r>
      <rPr>
        <b/>
        <i/>
        <sz val="10"/>
        <color rgb="FF000000"/>
        <rFont val="Arial"/>
        <family val="2"/>
        <charset val="186"/>
      </rPr>
      <t>Comparative Analysis of International Practices in Child Protection Service Delivery Models and Career Pathways for the Ministry of Social Affairs</t>
    </r>
    <r>
      <rPr>
        <sz val="10"/>
        <color rgb="FF000000"/>
        <rFont val="Arial"/>
        <family val="2"/>
        <charset val="186"/>
      </rPr>
      <t>.” The procurement procedure was successfully completed, and a contract with the selected partner was signed in May. An initial meeting between the contracting authority and the research team has been held, and the experts have commenced their work in accordance with the project timeline and procurement schedule.
During the first quarter of 2026, the Ministry of Social Affairs also organised</t>
    </r>
    <r>
      <rPr>
        <b/>
        <sz val="10"/>
        <color rgb="FF000000"/>
        <rFont val="Arial"/>
        <family val="2"/>
        <charset val="186"/>
      </rPr>
      <t xml:space="preserve"> a partnership invitation process among educational institutions</t>
    </r>
    <r>
      <rPr>
        <sz val="10"/>
        <color rgb="FF000000"/>
        <rFont val="Arial"/>
        <family val="2"/>
        <charset val="186"/>
      </rPr>
      <t xml:space="preserve"> in the sector to identify partners for the modernisation of curricula. Partnership agreements were concluded in May, bringing a total of eight new higher education and vocational education institutions into the project. The partner institutions will</t>
    </r>
    <r>
      <rPr>
        <b/>
        <sz val="10"/>
        <color rgb="FF000000"/>
        <rFont val="Arial"/>
        <family val="2"/>
        <charset val="186"/>
      </rPr>
      <t xml:space="preserve"> update their curricula in line with the occupational competence profiles developed</t>
    </r>
    <r>
      <rPr>
        <sz val="10"/>
        <color rgb="FF000000"/>
        <rFont val="Arial"/>
        <family val="2"/>
        <charset val="186"/>
      </rPr>
      <t xml:space="preserve"> within the programme component. The curricula to be revised include those for social work, child protection, care workers, and support workers in social care services.The partnership consists of eight educational institutions: Tallinn University, TTK University of Applied Sciences, the University of Tartu Pärnu College, Järvamaa, Haapsalu, Kuressaare, Valgamaa Vocational schools and Tartu Healthcare College.The higher education institutions are updating five social work curricula (three Bachelor’s and two Master’s programmes). The vocational education institutions and Tartu Health Care College are updating three work-based care worker curricula and two work-based activity instructor curricula.
 By 30 June 2026, three institutions had started curriculum development activities. The University of Tartu has analysed the existing curriculum learning outcomes against the new Higher Education Standard. The analysis showed that the learning outcomes are generally aligned with the requirements; however, digital competencies need to be strengthened. The university has also reviewed compulsory courses, adjusted course volumes up to 6 ECTS credits, developed an initial module-based curriculum structure, and reviewed practical training arrangements. A study visit to Thomas More University of Applied Sciences is planned for 15–18 November 2026 to learn from their approach to social work curriculum development.TTK University of Applied Sciences and Haapsalu Vocational Education Centre have started analysing their existing curricula. Other institutions are preparing curriculum analyses and identifying development needs to ensure alignment with updated professional standards and educational requirements and have started recruiting experts and building cooperation networks to support curriculum development, including analysing digital learning platforms and innovative teaching methods.</t>
    </r>
  </si>
  <si>
    <r>
      <rPr>
        <b/>
        <sz val="10"/>
        <color rgb="FF000000"/>
        <rFont val="Arial"/>
        <family val="2"/>
        <charset val="186"/>
      </rPr>
      <t xml:space="preserve">In Estonia, social innovation, Competence Centre and CH-EE cooperation programme were being introduced </t>
    </r>
    <r>
      <rPr>
        <sz val="10"/>
        <color rgb="FF000000"/>
        <rFont val="Arial"/>
        <family val="2"/>
        <charset val="186"/>
      </rPr>
      <t xml:space="preserve">at the "Sprouting" day and at the NFCS Seminar and to an expert from Singapore who visited Estonia as part of the CIF exchange program. </t>
    </r>
    <r>
      <rPr>
        <b/>
        <sz val="10"/>
        <color rgb="FF000000"/>
        <rFont val="Arial"/>
        <family val="2"/>
        <charset val="186"/>
      </rPr>
      <t>Internationally,</t>
    </r>
    <r>
      <rPr>
        <sz val="10"/>
        <color rgb="FF000000"/>
        <rFont val="Arial"/>
        <family val="2"/>
        <charset val="186"/>
      </rPr>
      <t xml:space="preserve"> at the study visits in Belgium, in Poland at the 11th European Congress of Local Governments and panel discussion, at the network meeting in Latvia, in Spain at the European Union ESF+ COP SI study tour and panel discussion, also to the consortium created by the SI PLUS consortium of Latvia, Austria, Hungary, Slovakia and Malta, and at a project study tour in Switzerland and meetings in Cyprus. https://kysk.ee/sikk/uudised/. All team members participated in several thematic events and seminars in Estonia and internationally. These engagements supported the exchange of experiences and knowledge, the identification of speakers for events and activities, the establishment of connections with international experts, and steps toward ensuring the sustainability of activities.
</t>
    </r>
    <r>
      <rPr>
        <b/>
        <sz val="10"/>
        <color rgb="FF000000"/>
        <rFont val="Arial"/>
        <family val="2"/>
        <charset val="186"/>
      </rPr>
      <t>In addition, to support short- and long-term sustainability, the project manager contributed</t>
    </r>
    <r>
      <rPr>
        <sz val="10"/>
        <color rgb="FF000000"/>
        <rFont val="Arial"/>
        <family val="2"/>
        <charset val="186"/>
      </rPr>
      <t xml:space="preserve"> to the preparation national country plans regarding to the next ESF+ programming period, participated in the Ministry of the Interior’s science, development, and innovation working group, the ESF+ social innovation mid-stage competence centres working group, and Global Government Council for Social Innovation activities, and participated at OECD group interview.</t>
    </r>
  </si>
  <si>
    <r>
      <rPr>
        <b/>
        <sz val="10"/>
        <color rgb="FF000000"/>
        <rFont val="Arial"/>
        <family val="2"/>
        <charset val="186"/>
      </rPr>
      <t xml:space="preserve">
</t>
    </r>
    <r>
      <rPr>
        <sz val="10"/>
        <color rgb="FF000000"/>
        <rFont val="Arial"/>
        <family val="2"/>
        <charset val="186"/>
      </rPr>
      <t xml:space="preserve">
</t>
    </r>
    <r>
      <rPr>
        <b/>
        <sz val="10"/>
        <color rgb="FF000000"/>
        <rFont val="Arial"/>
        <family val="2"/>
        <charset val="186"/>
      </rPr>
      <t>Information on social innovation was regularly disseminated in various ways</t>
    </r>
    <r>
      <rPr>
        <sz val="10"/>
        <color rgb="FF000000"/>
        <rFont val="Arial"/>
        <family val="2"/>
        <charset val="186"/>
      </rPr>
      <t xml:space="preserve"> using Facebook, LinkedIn, Instagram, the website and the social innovation newsletter. 47 Estonian and 9 English news items on social innovation were published on the KÜSK website, 8 newsletters and over 50 thematic posts on social media were published, and two major campaigns were launched. 4 podcast episodes were released, 1 full-length broadcast of the conference was held, and thematic videos were published. 
</t>
    </r>
    <r>
      <rPr>
        <b/>
        <sz val="10"/>
        <color rgb="FF000000"/>
        <rFont val="Arial"/>
        <family val="2"/>
        <charset val="186"/>
      </rPr>
      <t>The procurement documents for the SI-themed TV show are being prepared</t>
    </r>
    <r>
      <rPr>
        <sz val="10"/>
        <color rgb="FF000000"/>
        <rFont val="Arial"/>
        <family val="2"/>
        <charset val="186"/>
      </rPr>
      <t xml:space="preserve">, cooperation with the State Shared Service Centre procurement advisor has begun. The agreed action plan envisages concluding the contract in autumn. 
</t>
    </r>
    <r>
      <rPr>
        <b/>
        <sz val="10"/>
        <color rgb="FF000000"/>
        <rFont val="Arial"/>
        <family val="2"/>
        <charset val="186"/>
      </rPr>
      <t>4 events on the theme of social innovation were organized:</t>
    </r>
    <r>
      <rPr>
        <sz val="10"/>
        <color rgb="FF000000"/>
        <rFont val="Arial"/>
        <family val="2"/>
        <charset val="186"/>
      </rPr>
      <t xml:space="preserve"> </t>
    </r>
    <r>
      <rPr>
        <b/>
        <sz val="10"/>
        <color rgb="FF000000"/>
        <rFont val="Arial"/>
        <family val="2"/>
        <charset val="186"/>
      </rPr>
      <t>two virtual community innovation mornings</t>
    </r>
    <r>
      <rPr>
        <sz val="10"/>
        <color rgb="FF000000"/>
        <rFont val="Arial"/>
        <family val="2"/>
        <charset val="186"/>
      </rPr>
      <t xml:space="preserve"> with nearly 100 participants all together, </t>
    </r>
    <r>
      <rPr>
        <b/>
        <sz val="10"/>
        <color rgb="FF000000"/>
        <rFont val="Arial"/>
        <family val="2"/>
        <charset val="186"/>
      </rPr>
      <t xml:space="preserve">a social innovators' day "Sprouting" </t>
    </r>
    <r>
      <rPr>
        <sz val="10"/>
        <color rgb="FF000000"/>
        <rFont val="Arial"/>
        <family val="2"/>
        <charset val="186"/>
      </rPr>
      <t>with nearly 80 participants,</t>
    </r>
    <r>
      <rPr>
        <b/>
        <sz val="10"/>
        <color rgb="FF000000"/>
        <rFont val="Arial"/>
        <family val="2"/>
        <charset val="186"/>
      </rPr>
      <t xml:space="preserve"> NFSC summer seminar Suminar </t>
    </r>
    <r>
      <rPr>
        <sz val="10"/>
        <color rgb="FF000000"/>
        <rFont val="Arial"/>
        <family val="2"/>
        <charset val="186"/>
      </rPr>
      <t xml:space="preserve">with over 90 participants, which was SI focussed this time, co-organized by the Estonian Youth Associations and also participated by young people. </t>
    </r>
    <r>
      <rPr>
        <b/>
        <sz val="10"/>
        <color rgb="FF000000"/>
        <rFont val="Arial"/>
        <family val="2"/>
        <charset val="186"/>
      </rPr>
      <t>Cooperation meetings were held with 4 organisations:</t>
    </r>
    <r>
      <rPr>
        <sz val="10"/>
        <color rgb="FF000000"/>
        <rFont val="Arial"/>
        <family val="2"/>
        <charset val="186"/>
      </rPr>
      <t xml:space="preserve"> the Government Office, EdTech Estonia, the Estonian Social Work Association and the Gambling Addiction Counselling Centre, as well as regular cooperation with the Ministry of Culture, Ministry of Education and Science, the Ministry of Social Affaire, the Ministry of Interior, State Shared Service Centre. https://kysk.ee/sikk/uudised/
</t>
    </r>
    <r>
      <rPr>
        <b/>
        <sz val="10"/>
        <color rgb="FF000000"/>
        <rFont val="Arial"/>
        <family val="2"/>
        <charset val="186"/>
      </rPr>
      <t>A social innovation study trip took place in Ida-Viru County in March, 140 people applied for the study trip, and a total of 32 people participated.</t>
    </r>
    <r>
      <rPr>
        <sz val="10"/>
        <color rgb="FF000000"/>
        <rFont val="Arial"/>
        <family val="2"/>
        <charset val="186"/>
      </rPr>
      <t xml:space="preserve"> Follow-up activities were held after the Ida-Viru County study trip and feedback collection after three months began. https://kysk.ee/sioppereis2026/
</t>
    </r>
    <r>
      <rPr>
        <b/>
        <sz val="10"/>
        <color rgb="FF000000"/>
        <rFont val="Arial"/>
        <family val="2"/>
        <charset val="186"/>
      </rPr>
      <t xml:space="preserve">The activities of creating a database for collecting best practices in social innovation and drafting a manual were continued. </t>
    </r>
    <r>
      <rPr>
        <sz val="10"/>
        <color rgb="FF000000"/>
        <rFont val="Arial"/>
        <family val="2"/>
        <charset val="186"/>
      </rPr>
      <t xml:space="preserve">Comparison of SI best practice collection formats have been conducted, partners consulted, questions and form has been developed. Tested in the Social Innovation Competence Centre network. </t>
    </r>
    <r>
      <rPr>
        <b/>
        <sz val="10"/>
        <color rgb="FF000000"/>
        <rFont val="Arial"/>
        <family val="2"/>
        <charset val="186"/>
      </rPr>
      <t>For the creation of a draft handbook</t>
    </r>
    <r>
      <rPr>
        <sz val="10"/>
        <color rgb="FF000000"/>
        <rFont val="Arial"/>
        <family val="2"/>
        <charset val="186"/>
      </rPr>
      <t xml:space="preserve"> on social innovation input information has been processed, as well as additional materials received from the Bern University of Applied Sciences.</t>
    </r>
  </si>
  <si>
    <r>
      <rPr>
        <b/>
        <sz val="10"/>
        <color rgb="FF000000"/>
        <rFont val="Arial"/>
        <family val="2"/>
        <charset val="186"/>
      </rPr>
      <t xml:space="preserve">Building civil society competence, raising public awareness and disseminating information on social innovation: </t>
    </r>
    <r>
      <rPr>
        <sz val="10"/>
        <color rgb="FF000000"/>
        <rFont val="Arial"/>
        <family val="2"/>
        <charset val="186"/>
      </rPr>
      <t xml:space="preserve"> 
A public procurement was carried out to implement hackathons and incubation programs, and a procurement contract was signed with Visionest Institute OÜ.</t>
    </r>
    <r>
      <rPr>
        <b/>
        <sz val="10"/>
        <color rgb="FF000000"/>
        <rFont val="Arial"/>
        <family val="2"/>
        <charset val="186"/>
      </rPr>
      <t xml:space="preserve"> The first hackathon called “Idea Day” was successfully carried out on May 13. 42 ideas were submitted in the idea collection, 12 ideas and teams participated in the hackathon, and 10 ideas and teams reached the final presentations</t>
    </r>
    <r>
      <rPr>
        <sz val="10"/>
        <color rgb="FF000000"/>
        <rFont val="Arial"/>
        <family val="2"/>
        <charset val="186"/>
      </rPr>
      <t>. Among the people who participated in the hackathon,</t>
    </r>
    <r>
      <rPr>
        <b/>
        <sz val="10"/>
        <color rgb="FF000000"/>
        <rFont val="Arial"/>
        <family val="2"/>
        <charset val="186"/>
      </rPr>
      <t xml:space="preserve"> people with different language and cultural backgrounds made up 42%</t>
    </r>
    <r>
      <rPr>
        <sz val="10"/>
        <color rgb="FF000000"/>
        <rFont val="Arial"/>
        <family val="2"/>
        <charset val="186"/>
      </rPr>
      <t xml:space="preserve">, the expectation was at least 25%. Preparations for the incubation program are underway (starting in the second half of the year). https://kysk.ee/bowlingusaal-taitus-nutikate-ideedega/
As a result of the procurement, </t>
    </r>
    <r>
      <rPr>
        <b/>
        <sz val="10"/>
        <color rgb="FF000000"/>
        <rFont val="Arial"/>
        <family val="2"/>
        <charset val="186"/>
      </rPr>
      <t>SA Estonian Business School was selected as the implementer of social innovation training programs</t>
    </r>
    <r>
      <rPr>
        <sz val="10"/>
        <color rgb="FF000000"/>
        <rFont val="Arial"/>
        <family val="2"/>
        <charset val="186"/>
      </rPr>
      <t xml:space="preserve">. The training programs are aimed mainly at consultants from NGOs and businesses and will start in the second half of the year. https://kysk.ee/ebs-koolitusprogramm/
A package of procurement documents was prepared for the provision of </t>
    </r>
    <r>
      <rPr>
        <b/>
        <sz val="10"/>
        <color rgb="FF000000"/>
        <rFont val="Arial"/>
        <family val="2"/>
        <charset val="186"/>
      </rPr>
      <t xml:space="preserve">social innovation consultancy services and a tender was published with a deadline for submission of tenders on July 3.
</t>
    </r>
    <r>
      <rPr>
        <sz val="10"/>
        <color rgb="FF000000"/>
        <rFont val="Arial"/>
        <family val="2"/>
        <charset val="186"/>
      </rPr>
      <t xml:space="preserve">
Procurement documents were prepared for the </t>
    </r>
    <r>
      <rPr>
        <b/>
        <sz val="10"/>
        <color rgb="FF000000"/>
        <rFont val="Arial"/>
        <family val="2"/>
        <charset val="186"/>
      </rPr>
      <t xml:space="preserve">creation of social innovation e-learning and a small tender was launched with a deadline for submission of tenders on August 31.
</t>
    </r>
    <r>
      <rPr>
        <sz val="10"/>
        <color rgb="FF000000"/>
        <rFont val="Arial"/>
        <family val="2"/>
        <charset val="186"/>
      </rPr>
      <t xml:space="preserve">
</t>
    </r>
    <r>
      <rPr>
        <b/>
        <sz val="10"/>
        <color rgb="FF000000"/>
        <rFont val="Arial"/>
        <family val="2"/>
        <charset val="186"/>
      </rPr>
      <t>Nordic best practices for involving new immigrants with social innovation and entrepreneurship methods.</t>
    </r>
    <r>
      <rPr>
        <sz val="10"/>
        <color rgb="FF000000"/>
        <rFont val="Arial"/>
        <family val="2"/>
        <charset val="186"/>
      </rPr>
      <t xml:space="preserve"> Next phase of preparatory activities will begin in August 2026. The workshop will take place in October 2026.
</t>
    </r>
    <r>
      <rPr>
        <b/>
        <sz val="10"/>
        <color rgb="FF000000"/>
        <rFont val="Arial"/>
        <family val="2"/>
        <charset val="186"/>
      </rPr>
      <t>Preparatory activities have taken place within the framework of organizing a European study tour in November -</t>
    </r>
    <r>
      <rPr>
        <sz val="10"/>
        <color rgb="FF000000"/>
        <rFont val="Arial"/>
        <family val="2"/>
        <charset val="186"/>
      </rPr>
      <t xml:space="preserve"> communication with representatives of institutions in potential destination countries, there after choosing Portugal as destination for the visit, mapping of the target group and a preparing a preliminary plan for the study tour. </t>
    </r>
  </si>
  <si>
    <r>
      <t xml:space="preserve">1) At the meeting held on 5 March 2026, the Steering Committee agreed that where full disaggregation of indicators related to target groups with different cultural and linguistic backgrounds is not possible, an estimation-based approach (e.g. using regional demographic statistics or registration data) may be applied (for further information, please refer to the protocol).
2) There were some changes that have no budgetary effect and do not contradict the agreed outputs and outcomes of the Programme, nor change its duration. Those were agreed with the Programme Operator and the NCU as part of the approval process for modifications to the conditions for implementing activities:
</t>
    </r>
    <r>
      <rPr>
        <b/>
        <u/>
        <sz val="11"/>
        <rFont val="Arial Narrow"/>
        <family val="2"/>
        <charset val="186"/>
      </rPr>
      <t>* Component 2:</t>
    </r>
    <r>
      <rPr>
        <sz val="11"/>
        <rFont val="Arial Narrow"/>
        <family val="2"/>
        <charset val="186"/>
      </rPr>
      <t xml:space="preserve"> The Support Measure Proposal foresaw the engagement of all potential target group schools in the sector, i.e. 3 higher education schools and </t>
    </r>
    <r>
      <rPr>
        <b/>
        <sz val="11"/>
        <rFont val="Arial Narrow"/>
        <family val="2"/>
        <charset val="186"/>
      </rPr>
      <t>7 vocational schools</t>
    </r>
    <r>
      <rPr>
        <sz val="11"/>
        <rFont val="Arial Narrow"/>
        <family val="2"/>
        <charset val="186"/>
      </rPr>
      <t xml:space="preserve"> in curricula development, as well as the updating of</t>
    </r>
    <r>
      <rPr>
        <b/>
        <sz val="11"/>
        <rFont val="Arial Narrow"/>
        <family val="2"/>
        <charset val="186"/>
      </rPr>
      <t xml:space="preserve"> 5 social welfare curricula</t>
    </r>
    <r>
      <rPr>
        <sz val="11"/>
        <rFont val="Arial Narrow"/>
        <family val="2"/>
        <charset val="186"/>
      </rPr>
      <t xml:space="preserve">. During the first quarter of 2026, the Ministry of Social Affairs organised a partnership invitation process among educational institutions in the sector to identify partners for the modernisation of curricula. As a result of this process, partnership agreements were concluded with 3 higher education schools (Tallinn University, University of Tartu Pärnu College and TTK University of Applied Sciences) as well as </t>
    </r>
    <r>
      <rPr>
        <b/>
        <sz val="11"/>
        <rFont val="Arial Narrow"/>
        <family val="2"/>
        <charset val="186"/>
      </rPr>
      <t>5 vocational educational</t>
    </r>
    <r>
      <rPr>
        <sz val="11"/>
        <rFont val="Arial Narrow"/>
        <family val="2"/>
        <charset val="186"/>
      </rPr>
      <t xml:space="preserve"> </t>
    </r>
    <r>
      <rPr>
        <b/>
        <sz val="11"/>
        <rFont val="Arial Narrow"/>
        <family val="2"/>
        <charset val="186"/>
      </rPr>
      <t>schools</t>
    </r>
    <r>
      <rPr>
        <sz val="11"/>
        <rFont val="Arial Narrow"/>
        <family val="2"/>
        <charset val="186"/>
      </rPr>
      <t xml:space="preserve"> (Valgamaa Vocational Training Centre,Haapsalu Vocational Education and Training Centre, Järvamaa Vocational College, Kuressaare Regional Training Centre and Tartu Applied Health Sciences University). Together, these institutions will update a total of </t>
    </r>
    <r>
      <rPr>
        <b/>
        <sz val="11"/>
        <rFont val="Arial Narrow"/>
        <family val="2"/>
        <charset val="186"/>
      </rPr>
      <t>10 curricula</t>
    </r>
    <r>
      <rPr>
        <sz val="11"/>
        <rFont val="Arial Narrow"/>
        <family val="2"/>
        <charset val="186"/>
      </rPr>
      <t xml:space="preserve">. Therefore, </t>
    </r>
    <r>
      <rPr>
        <b/>
        <sz val="11"/>
        <rFont val="Arial Narrow"/>
        <family val="2"/>
        <charset val="186"/>
      </rPr>
      <t xml:space="preserve">while the number of partner institutions is lower than initially planned, the number of curricula to be updated is higher, which is fully in line with the indicator OPI 2.2.
</t>
    </r>
    <r>
      <rPr>
        <b/>
        <u/>
        <sz val="11"/>
        <rFont val="Arial Narrow"/>
        <family val="2"/>
        <charset val="186"/>
      </rPr>
      <t xml:space="preserve">* Component 3: </t>
    </r>
    <r>
      <rPr>
        <sz val="11"/>
        <rFont val="Arial Narrow"/>
        <family val="2"/>
        <charset val="186"/>
      </rPr>
      <t>The term "parents' councils" was used in the Support Measure Proposal. However, such bodies are not mandatory in Estonian schools and therefore do not exist in all schools. To maximise the reach of the project, the activities were designed to engage parents directly rather than through parents' councils. The high participation rates and positive feedback from parents demonstrate that this approach has been successful and well justified, while remaining fully aligned with the objectives of the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</si>
</sst>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dd/mm/yy;@"/>
    <numFmt numFmtId="166" formatCode="0.000"/>
  </numFmts>
  <fonts count="74">
    <font>
      <sz val="10"/>
      <name val="Arial"/>
      <charset val="186"/>
    </font>
    <font>
      <sz val="11"/>
      <color theme="1"/>
      <name val="Calibri"/>
      <family val="2"/>
      <charset val="186"/>
      <scheme val="minor"/>
    </font>
    <font>
      <sz val="11"/>
      <color theme="1"/>
      <name val="Calibri"/>
      <family val="2"/>
      <charset val="186"/>
      <scheme val="minor"/>
    </font>
    <font>
      <sz val="10"/>
      <color theme="1"/>
      <name val="Arial"/>
      <family val="2"/>
    </font>
    <font>
      <sz val="11"/>
      <color theme="1"/>
      <name val="Arial"/>
      <family val="2"/>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0"/>
      <name val="Arial"/>
      <family val="2"/>
      <charset val="186"/>
    </font>
    <font>
      <sz val="10"/>
      <name val="Arial"/>
      <family val="2"/>
      <charset val="186"/>
    </font>
    <font>
      <sz val="12"/>
      <name val="Arial"/>
      <family val="2"/>
      <charset val="186"/>
    </font>
    <font>
      <b/>
      <sz val="10"/>
      <name val="Arial Narrow"/>
      <family val="2"/>
      <charset val="186"/>
    </font>
    <font>
      <sz val="10"/>
      <name val="Arial"/>
      <family val="2"/>
      <charset val="186"/>
    </font>
    <font>
      <sz val="11"/>
      <color theme="1"/>
      <name val="Calibri"/>
      <family val="2"/>
      <charset val="186"/>
      <scheme val="minor"/>
    </font>
    <font>
      <u/>
      <sz val="10"/>
      <color theme="11"/>
      <name val="Arial"/>
      <family val="2"/>
      <charset val="186"/>
    </font>
    <font>
      <b/>
      <sz val="16"/>
      <name val="Arial"/>
      <family val="2"/>
    </font>
    <font>
      <sz val="11"/>
      <name val="Arial Narrow"/>
      <family val="2"/>
      <charset val="186"/>
    </font>
    <font>
      <b/>
      <sz val="10"/>
      <name val="Arial Narrow"/>
      <family val="2"/>
    </font>
    <font>
      <b/>
      <sz val="11"/>
      <name val="Arial Narrow"/>
      <family val="2"/>
    </font>
    <font>
      <b/>
      <sz val="12"/>
      <name val="Arial"/>
      <family val="2"/>
    </font>
    <font>
      <sz val="10"/>
      <name val="Arial Narrow"/>
      <family val="2"/>
    </font>
    <font>
      <b/>
      <sz val="11"/>
      <name val="Arial Narrow"/>
      <family val="2"/>
      <charset val="186"/>
    </font>
    <font>
      <sz val="10"/>
      <name val="Arial"/>
      <family val="2"/>
    </font>
    <font>
      <b/>
      <sz val="11"/>
      <color theme="1"/>
      <name val="Arial Narrow"/>
      <family val="2"/>
    </font>
    <font>
      <sz val="11"/>
      <name val="Arial Narrow"/>
      <family val="2"/>
    </font>
    <font>
      <b/>
      <sz val="10"/>
      <name val="Arial"/>
      <family val="2"/>
    </font>
    <font>
      <sz val="9"/>
      <color indexed="81"/>
      <name val="Tahoma"/>
      <family val="2"/>
    </font>
    <font>
      <b/>
      <sz val="10"/>
      <color indexed="8"/>
      <name val="Arial"/>
      <family val="2"/>
    </font>
    <font>
      <sz val="10"/>
      <color indexed="8"/>
      <name val="Arial"/>
      <family val="2"/>
    </font>
    <font>
      <i/>
      <sz val="11"/>
      <name val="Arial Narrow"/>
      <family val="2"/>
    </font>
    <font>
      <sz val="9"/>
      <name val="Arial"/>
      <family val="2"/>
    </font>
    <font>
      <i/>
      <sz val="10"/>
      <name val="Arial"/>
      <family val="2"/>
    </font>
    <font>
      <sz val="8"/>
      <color indexed="8"/>
      <name val="Arial"/>
      <family val="2"/>
    </font>
    <font>
      <b/>
      <i/>
      <sz val="11"/>
      <name val="Arial"/>
      <family val="2"/>
    </font>
    <font>
      <b/>
      <sz val="10"/>
      <color theme="1"/>
      <name val="Arial Narrow"/>
      <family val="2"/>
    </font>
    <font>
      <sz val="11"/>
      <color indexed="81"/>
      <name val="Segoe UI"/>
      <family val="2"/>
    </font>
    <font>
      <sz val="14"/>
      <name val="Arial"/>
      <family val="2"/>
    </font>
    <font>
      <sz val="11"/>
      <name val="Arial"/>
      <family val="2"/>
    </font>
    <font>
      <sz val="9"/>
      <color indexed="81"/>
      <name val="Segoe UI"/>
      <family val="2"/>
    </font>
    <font>
      <i/>
      <sz val="10"/>
      <color rgb="FF7F7F7F"/>
      <name val="Arial"/>
      <family val="2"/>
    </font>
    <font>
      <sz val="10"/>
      <color indexed="81"/>
      <name val="Arial Narrow"/>
      <family val="2"/>
    </font>
    <font>
      <sz val="11"/>
      <color theme="2" tint="-0.499984740745262"/>
      <name val="Arial Narrow"/>
      <family val="2"/>
    </font>
    <font>
      <sz val="9"/>
      <color theme="1"/>
      <name val="Arial Narrow"/>
      <family val="2"/>
    </font>
    <font>
      <sz val="10"/>
      <color rgb="FF000000"/>
      <name val="Arial"/>
      <family val="2"/>
    </font>
    <font>
      <sz val="10"/>
      <color theme="0" tint="-0.34998626667073579"/>
      <name val="Arial"/>
      <family val="2"/>
    </font>
    <font>
      <b/>
      <sz val="10"/>
      <color theme="0" tint="-0.34998626667073579"/>
      <name val="Arial Narrow"/>
      <family val="2"/>
    </font>
    <font>
      <b/>
      <sz val="9"/>
      <color theme="1"/>
      <name val="Arial Narrow"/>
      <family val="2"/>
    </font>
    <font>
      <b/>
      <sz val="10"/>
      <name val="Arial "/>
    </font>
    <font>
      <b/>
      <sz val="10"/>
      <color rgb="FFFF0000"/>
      <name val="Arial"/>
      <family val="2"/>
    </font>
    <font>
      <sz val="9"/>
      <color indexed="81"/>
      <name val="Arial"/>
      <family val="2"/>
    </font>
    <font>
      <i/>
      <sz val="9"/>
      <color indexed="81"/>
      <name val="Tahoma"/>
      <family val="2"/>
    </font>
    <font>
      <i/>
      <sz val="9"/>
      <color indexed="81"/>
      <name val="Arial"/>
      <family val="2"/>
    </font>
    <font>
      <b/>
      <sz val="10"/>
      <color theme="1"/>
      <name val="Arial Narrow"/>
      <family val="2"/>
      <charset val="186"/>
    </font>
    <font>
      <i/>
      <sz val="10"/>
      <color theme="1"/>
      <name val="Arial"/>
      <family val="2"/>
    </font>
    <font>
      <sz val="10"/>
      <color theme="1"/>
      <name val="Arial Narrow"/>
      <family val="2"/>
    </font>
    <font>
      <i/>
      <sz val="10"/>
      <color theme="1"/>
      <name val="Arial Narrow"/>
      <family val="2"/>
    </font>
    <font>
      <u/>
      <sz val="10"/>
      <color theme="10"/>
      <name val="Arial"/>
      <family val="2"/>
      <charset val="186"/>
    </font>
    <font>
      <sz val="11"/>
      <color rgb="FF000000"/>
      <name val="Arial Narrow"/>
      <family val="2"/>
      <charset val="186"/>
    </font>
    <font>
      <b/>
      <sz val="11"/>
      <color rgb="FF000000"/>
      <name val="Arial Narrow"/>
      <family val="2"/>
      <charset val="186"/>
    </font>
    <font>
      <i/>
      <sz val="11"/>
      <color rgb="FF000000"/>
      <name val="Arial Narrow"/>
      <family val="2"/>
      <charset val="186"/>
    </font>
    <font>
      <sz val="10"/>
      <color rgb="FF000000"/>
      <name val="Arial"/>
      <family val="2"/>
      <charset val="186"/>
    </font>
    <font>
      <b/>
      <sz val="10"/>
      <color rgb="FF000000"/>
      <name val="Arial"/>
      <family val="2"/>
      <charset val="186"/>
    </font>
    <font>
      <b/>
      <i/>
      <sz val="10"/>
      <name val="Arial"/>
      <family val="2"/>
      <charset val="186"/>
    </font>
    <font>
      <i/>
      <sz val="10"/>
      <name val="Arial"/>
      <family val="2"/>
      <charset val="186"/>
    </font>
    <font>
      <b/>
      <sz val="10"/>
      <color rgb="FF000000"/>
      <name val="Arial"/>
      <family val="2"/>
      <charset val="186"/>
    </font>
    <font>
      <sz val="10"/>
      <color rgb="FF000000"/>
      <name val="Arial"/>
      <family val="2"/>
      <charset val="186"/>
    </font>
    <font>
      <b/>
      <u/>
      <sz val="10"/>
      <color rgb="FF000000"/>
      <name val="Arial"/>
      <family val="2"/>
      <charset val="186"/>
    </font>
    <font>
      <sz val="10"/>
      <color rgb="FFFF0000"/>
      <name val="Arial"/>
      <family val="2"/>
      <charset val="186"/>
    </font>
    <font>
      <b/>
      <i/>
      <sz val="10"/>
      <color rgb="FF000000"/>
      <name val="Arial"/>
      <family val="2"/>
      <charset val="186"/>
    </font>
    <font>
      <i/>
      <sz val="10"/>
      <color rgb="FF000000"/>
      <name val="Arial"/>
      <family val="2"/>
      <charset val="186"/>
    </font>
    <font>
      <u/>
      <sz val="10"/>
      <color rgb="FF000000"/>
      <name val="Arial"/>
      <family val="2"/>
      <charset val="186"/>
    </font>
    <font>
      <b/>
      <u/>
      <sz val="11"/>
      <name val="Arial Narrow"/>
      <family val="2"/>
      <charset val="186"/>
    </font>
  </fonts>
  <fills count="1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CFECE"/>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2F8EE"/>
        <bgColor indexed="64"/>
      </patternFill>
    </fill>
    <fill>
      <patternFill patternType="solid">
        <fgColor rgb="FFFFFF00"/>
        <bgColor indexed="64"/>
      </patternFill>
    </fill>
    <fill>
      <patternFill patternType="solid">
        <fgColor rgb="FFF2F8EE"/>
        <bgColor rgb="FF000000"/>
      </patternFill>
    </fill>
  </fills>
  <borders count="34">
    <border>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slantDashDot">
        <color indexed="64"/>
      </left>
      <right/>
      <top style="medium">
        <color indexed="64"/>
      </top>
      <bottom style="medium">
        <color indexed="64"/>
      </bottom>
      <diagonal/>
    </border>
    <border>
      <left style="thin">
        <color auto="1"/>
      </left>
      <right style="thin">
        <color auto="1"/>
      </right>
      <top/>
      <bottom/>
      <diagonal/>
    </border>
  </borders>
  <cellStyleXfs count="57">
    <xf numFmtId="0" fontId="0" fillId="0" borderId="0"/>
    <xf numFmtId="0" fontId="14" fillId="0" borderId="0"/>
    <xf numFmtId="0" fontId="15" fillId="0" borderId="0"/>
    <xf numFmtId="0" fontId="11" fillId="0" borderId="0"/>
    <xf numFmtId="9" fontId="8" fillId="0" borderId="0" applyFont="0" applyFill="0" applyBorder="0" applyAlignment="0" applyProtection="0"/>
    <xf numFmtId="9" fontId="14"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 fillId="0" borderId="0"/>
    <xf numFmtId="0" fontId="8" fillId="0" borderId="0"/>
    <xf numFmtId="0" fontId="8" fillId="0" borderId="0"/>
    <xf numFmtId="0" fontId="7" fillId="0" borderId="0"/>
    <xf numFmtId="0" fontId="6" fillId="0" borderId="0"/>
    <xf numFmtId="9" fontId="6" fillId="0" borderId="0" applyFont="0" applyFill="0" applyBorder="0" applyAlignment="0" applyProtection="0"/>
    <xf numFmtId="0" fontId="5" fillId="0" borderId="0"/>
    <xf numFmtId="0" fontId="4" fillId="0" borderId="0"/>
    <xf numFmtId="0" fontId="24" fillId="0" borderId="0"/>
    <xf numFmtId="0" fontId="41" fillId="0" borderId="0" applyNumberFormat="0" applyFill="0" applyBorder="0" applyAlignment="0" applyProtection="0"/>
    <xf numFmtId="0" fontId="2" fillId="0" borderId="0"/>
    <xf numFmtId="9" fontId="8"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58" fillId="0" borderId="0" applyNumberForma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463">
    <xf numFmtId="0" fontId="0" fillId="0" borderId="0" xfId="0"/>
    <xf numFmtId="0" fontId="38" fillId="0" borderId="0" xfId="42" applyFont="1" applyAlignment="1">
      <alignment vertical="center"/>
    </xf>
    <xf numFmtId="0" fontId="4" fillId="0" borderId="0" xfId="42" applyAlignment="1">
      <alignment vertical="center"/>
    </xf>
    <xf numFmtId="0" fontId="39" fillId="0" borderId="0" xfId="42" applyFont="1" applyAlignment="1">
      <alignment vertical="center"/>
    </xf>
    <xf numFmtId="0" fontId="24" fillId="0" borderId="0" xfId="42" applyFont="1" applyAlignment="1">
      <alignment vertical="center"/>
    </xf>
    <xf numFmtId="0" fontId="38" fillId="0" borderId="0" xfId="42" applyFont="1" applyAlignment="1">
      <alignment horizontal="left" vertical="center"/>
    </xf>
    <xf numFmtId="2" fontId="24" fillId="7" borderId="8" xfId="0" applyNumberFormat="1" applyFont="1" applyFill="1" applyBorder="1" applyAlignment="1">
      <alignment horizontal="left" vertical="center" wrapText="1"/>
    </xf>
    <xf numFmtId="0" fontId="24" fillId="0" borderId="0" xfId="42" applyFont="1" applyAlignment="1">
      <alignment horizontal="left" vertical="center"/>
    </xf>
    <xf numFmtId="4" fontId="0" fillId="0" borderId="0" xfId="0" applyNumberFormat="1"/>
    <xf numFmtId="0" fontId="24" fillId="0" borderId="0" xfId="0" applyFont="1"/>
    <xf numFmtId="10" fontId="0" fillId="0" borderId="0" xfId="0" applyNumberFormat="1" applyAlignment="1">
      <alignment horizontal="left"/>
    </xf>
    <xf numFmtId="0" fontId="0" fillId="0" borderId="0" xfId="0" applyAlignment="1">
      <alignment horizontal="left"/>
    </xf>
    <xf numFmtId="0" fontId="27" fillId="0" borderId="0" xfId="0" applyFont="1"/>
    <xf numFmtId="0" fontId="0" fillId="0" borderId="0" xfId="0" applyAlignment="1">
      <alignment wrapText="1"/>
    </xf>
    <xf numFmtId="4" fontId="0" fillId="0" borderId="0" xfId="0" applyNumberFormat="1" applyAlignment="1">
      <alignment wrapText="1"/>
    </xf>
    <xf numFmtId="0" fontId="0" fillId="0" borderId="0" xfId="0" applyProtection="1">
      <protection locked="0"/>
    </xf>
    <xf numFmtId="4" fontId="0" fillId="0" borderId="0" xfId="0" applyNumberFormat="1" applyProtection="1">
      <protection locked="0"/>
    </xf>
    <xf numFmtId="0" fontId="10" fillId="0" borderId="0" xfId="0" applyFont="1" applyAlignment="1" applyProtection="1">
      <alignment horizontal="center"/>
      <protection locked="0"/>
    </xf>
    <xf numFmtId="2" fontId="10" fillId="0" borderId="0" xfId="0" applyNumberFormat="1" applyFont="1" applyAlignment="1" applyProtection="1">
      <alignment horizontal="center" wrapText="1"/>
      <protection locked="0"/>
    </xf>
    <xf numFmtId="0" fontId="10" fillId="0" borderId="0" xfId="0" applyFont="1" applyProtection="1">
      <protection locked="0"/>
    </xf>
    <xf numFmtId="0" fontId="10" fillId="0" borderId="0" xfId="0" applyFont="1" applyAlignment="1" applyProtection="1">
      <alignment wrapText="1"/>
      <protection locked="0"/>
    </xf>
    <xf numFmtId="0" fontId="0" fillId="0" borderId="0" xfId="0" applyAlignment="1" applyProtection="1">
      <alignment wrapText="1"/>
      <protection locked="0"/>
    </xf>
    <xf numFmtId="0" fontId="26" fillId="0" borderId="0" xfId="0" applyFont="1" applyProtection="1">
      <protection locked="0"/>
    </xf>
    <xf numFmtId="0" fontId="26" fillId="0" borderId="0" xfId="0" applyFont="1" applyAlignment="1" applyProtection="1">
      <alignment horizontal="left"/>
      <protection locked="0"/>
    </xf>
    <xf numFmtId="0" fontId="26" fillId="4" borderId="0" xfId="0" applyFont="1" applyFill="1" applyProtection="1">
      <protection locked="0"/>
    </xf>
    <xf numFmtId="0" fontId="39" fillId="0" borderId="0" xfId="0" applyFont="1" applyAlignment="1" applyProtection="1">
      <alignment vertical="center"/>
      <protection locked="0"/>
    </xf>
    <xf numFmtId="0" fontId="26" fillId="0" borderId="0" xfId="0" applyFont="1"/>
    <xf numFmtId="0" fontId="25" fillId="3" borderId="8" xfId="0" applyFont="1" applyFill="1" applyBorder="1" applyAlignment="1">
      <alignment horizontal="center" vertical="center" wrapText="1"/>
    </xf>
    <xf numFmtId="4" fontId="25" fillId="2" borderId="8" xfId="0" applyNumberFormat="1" applyFont="1" applyFill="1" applyBorder="1" applyAlignment="1">
      <alignment horizontal="center" vertical="center"/>
    </xf>
    <xf numFmtId="4" fontId="25" fillId="0" borderId="8" xfId="0" applyNumberFormat="1" applyFont="1" applyBorder="1" applyAlignment="1">
      <alignment horizontal="center" vertical="center" wrapText="1"/>
    </xf>
    <xf numFmtId="0" fontId="43" fillId="0" borderId="0" xfId="0" applyFont="1" applyProtection="1">
      <protection locked="0"/>
    </xf>
    <xf numFmtId="4" fontId="0" fillId="3" borderId="0" xfId="0" applyNumberFormat="1" applyFill="1"/>
    <xf numFmtId="0" fontId="0" fillId="3" borderId="0" xfId="0" applyFill="1"/>
    <xf numFmtId="4" fontId="24" fillId="0" borderId="0" xfId="0" applyNumberFormat="1" applyFont="1"/>
    <xf numFmtId="0" fontId="39" fillId="0" borderId="0" xfId="0" applyFont="1" applyAlignment="1">
      <alignment horizontal="left" vertical="center"/>
    </xf>
    <xf numFmtId="0" fontId="26" fillId="3" borderId="0" xfId="0" applyFont="1" applyFill="1" applyProtection="1">
      <protection locked="0"/>
    </xf>
    <xf numFmtId="0" fontId="26" fillId="3" borderId="0" xfId="0" applyFont="1" applyFill="1" applyAlignment="1" applyProtection="1">
      <alignment horizontal="left"/>
      <protection locked="0"/>
    </xf>
    <xf numFmtId="49" fontId="21" fillId="6" borderId="0" xfId="0" applyNumberFormat="1" applyFont="1" applyFill="1" applyAlignment="1">
      <alignment horizontal="left"/>
    </xf>
    <xf numFmtId="0" fontId="8" fillId="0" borderId="0" xfId="37" applyProtection="1">
      <protection locked="0"/>
    </xf>
    <xf numFmtId="0" fontId="8" fillId="0" borderId="0" xfId="37" applyAlignment="1" applyProtection="1">
      <alignment wrapText="1"/>
      <protection locked="0"/>
    </xf>
    <xf numFmtId="49" fontId="21" fillId="6" borderId="0" xfId="0" applyNumberFormat="1" applyFont="1" applyFill="1" applyAlignment="1" applyProtection="1">
      <alignment horizontal="left"/>
      <protection locked="0"/>
    </xf>
    <xf numFmtId="0" fontId="26" fillId="6" borderId="0" xfId="0" applyFont="1" applyFill="1"/>
    <xf numFmtId="0" fontId="27" fillId="5" borderId="7" xfId="37" applyFont="1" applyFill="1" applyBorder="1" applyAlignment="1" applyProtection="1">
      <alignment horizontal="right" vertical="top" wrapText="1"/>
      <protection locked="0"/>
    </xf>
    <xf numFmtId="0" fontId="25" fillId="5" borderId="14" xfId="0" applyFont="1" applyFill="1" applyBorder="1" applyAlignment="1">
      <alignment horizontal="left" vertical="center" wrapText="1"/>
    </xf>
    <xf numFmtId="4" fontId="25" fillId="5" borderId="14" xfId="0" applyNumberFormat="1" applyFont="1" applyFill="1" applyBorder="1" applyAlignment="1">
      <alignment horizontal="left" vertical="center" wrapText="1"/>
    </xf>
    <xf numFmtId="0" fontId="44" fillId="5" borderId="7" xfId="0" applyFont="1" applyFill="1" applyBorder="1" applyAlignment="1">
      <alignment horizontal="left" vertical="top" wrapText="1"/>
    </xf>
    <xf numFmtId="4" fontId="44" fillId="5" borderId="7" xfId="0" applyNumberFormat="1" applyFont="1" applyFill="1" applyBorder="1" applyAlignment="1">
      <alignment horizontal="left" vertical="top" wrapText="1"/>
    </xf>
    <xf numFmtId="4" fontId="44" fillId="5" borderId="2" xfId="0" applyNumberFormat="1" applyFont="1" applyFill="1" applyBorder="1" applyAlignment="1">
      <alignment horizontal="left" vertical="top" wrapText="1"/>
    </xf>
    <xf numFmtId="4" fontId="44" fillId="5" borderId="5" xfId="0" applyNumberFormat="1" applyFont="1" applyFill="1" applyBorder="1" applyAlignment="1">
      <alignment horizontal="left" vertical="top" wrapText="1"/>
    </xf>
    <xf numFmtId="2" fontId="13" fillId="7" borderId="8" xfId="0" applyNumberFormat="1" applyFont="1" applyFill="1" applyBorder="1" applyAlignment="1">
      <alignment horizontal="center" vertical="center" wrapText="1"/>
    </xf>
    <xf numFmtId="2" fontId="13" fillId="5" borderId="8" xfId="0" applyNumberFormat="1" applyFont="1" applyFill="1" applyBorder="1" applyAlignment="1">
      <alignment horizontal="center" vertical="center" wrapText="1"/>
    </xf>
    <xf numFmtId="4" fontId="19" fillId="0" borderId="8" xfId="0" applyNumberFormat="1" applyFont="1" applyBorder="1"/>
    <xf numFmtId="10" fontId="19" fillId="0" borderId="8" xfId="4" applyNumberFormat="1" applyFont="1" applyBorder="1"/>
    <xf numFmtId="4" fontId="41" fillId="8" borderId="8" xfId="44" applyNumberFormat="1" applyFill="1" applyBorder="1" applyAlignment="1">
      <alignment horizontal="right" wrapText="1"/>
    </xf>
    <xf numFmtId="10" fontId="22" fillId="0" borderId="8" xfId="4" applyNumberFormat="1" applyFont="1" applyBorder="1"/>
    <xf numFmtId="0" fontId="24" fillId="0" borderId="11" xfId="0" applyFont="1" applyBorder="1" applyAlignment="1">
      <alignment horizontal="left" wrapText="1"/>
    </xf>
    <xf numFmtId="0" fontId="24" fillId="0" borderId="4" xfId="0" applyFont="1" applyBorder="1" applyAlignment="1">
      <alignment horizontal="left" wrapText="1"/>
    </xf>
    <xf numFmtId="0" fontId="24" fillId="0" borderId="0" xfId="0" applyFont="1" applyAlignment="1">
      <alignment horizontal="left"/>
    </xf>
    <xf numFmtId="0" fontId="0" fillId="0" borderId="6" xfId="0" applyBorder="1" applyAlignment="1">
      <alignment horizontal="left"/>
    </xf>
    <xf numFmtId="4" fontId="24" fillId="0" borderId="10" xfId="0" applyNumberFormat="1" applyFont="1" applyBorder="1"/>
    <xf numFmtId="0" fontId="24" fillId="0" borderId="13" xfId="0" applyFont="1" applyBorder="1" applyAlignment="1">
      <alignment horizontal="center" vertical="center" wrapText="1"/>
    </xf>
    <xf numFmtId="4" fontId="24" fillId="0" borderId="9" xfId="0" applyNumberFormat="1" applyFont="1" applyBorder="1" applyAlignment="1">
      <alignment horizontal="center" wrapText="1"/>
    </xf>
    <xf numFmtId="0" fontId="24" fillId="0" borderId="10" xfId="0" applyFont="1" applyBorder="1"/>
    <xf numFmtId="0" fontId="27" fillId="3" borderId="10" xfId="0" applyFont="1" applyFill="1" applyBorder="1"/>
    <xf numFmtId="0" fontId="27" fillId="3" borderId="13" xfId="0" applyFont="1" applyFill="1" applyBorder="1" applyAlignment="1">
      <alignment horizontal="center" vertical="center" wrapText="1"/>
    </xf>
    <xf numFmtId="4" fontId="27" fillId="3" borderId="9" xfId="0" applyNumberFormat="1" applyFont="1" applyFill="1" applyBorder="1" applyAlignment="1">
      <alignment horizontal="center" wrapText="1"/>
    </xf>
    <xf numFmtId="4" fontId="24" fillId="3" borderId="9" xfId="0" applyNumberFormat="1" applyFont="1" applyFill="1" applyBorder="1" applyAlignment="1">
      <alignment horizontal="center" wrapText="1"/>
    </xf>
    <xf numFmtId="0" fontId="24" fillId="3" borderId="10" xfId="0" applyFont="1" applyFill="1" applyBorder="1"/>
    <xf numFmtId="0" fontId="24" fillId="0" borderId="0" xfId="0" applyFont="1" applyAlignment="1">
      <alignment wrapText="1"/>
    </xf>
    <xf numFmtId="0" fontId="24" fillId="0" borderId="0" xfId="0" applyFont="1" applyAlignment="1">
      <alignment horizontal="left" wrapText="1"/>
    </xf>
    <xf numFmtId="4" fontId="24" fillId="0" borderId="0" xfId="0" applyNumberFormat="1" applyFont="1" applyAlignment="1">
      <alignment horizontal="left"/>
    </xf>
    <xf numFmtId="0" fontId="24" fillId="0" borderId="11" xfId="0" applyFont="1" applyBorder="1"/>
    <xf numFmtId="0" fontId="24" fillId="0" borderId="10" xfId="0" applyFont="1" applyBorder="1" applyAlignment="1">
      <alignment vertical="center"/>
    </xf>
    <xf numFmtId="0" fontId="29" fillId="2" borderId="10" xfId="0" applyFont="1" applyFill="1" applyBorder="1"/>
    <xf numFmtId="0" fontId="29" fillId="2" borderId="13" xfId="0" applyFont="1" applyFill="1" applyBorder="1"/>
    <xf numFmtId="0" fontId="29" fillId="2" borderId="9" xfId="0" applyFont="1" applyFill="1" applyBorder="1"/>
    <xf numFmtId="0" fontId="24" fillId="0" borderId="1" xfId="0" applyFont="1" applyBorder="1" applyAlignment="1">
      <alignment horizontal="left" wrapText="1"/>
    </xf>
    <xf numFmtId="0" fontId="24" fillId="0" borderId="12" xfId="0" applyFont="1" applyBorder="1" applyAlignment="1">
      <alignment horizontal="left" wrapText="1"/>
    </xf>
    <xf numFmtId="14" fontId="24" fillId="3" borderId="13" xfId="0" applyNumberFormat="1" applyFont="1" applyFill="1" applyBorder="1" applyAlignment="1">
      <alignment horizontal="left"/>
    </xf>
    <xf numFmtId="14" fontId="27" fillId="3" borderId="13" xfId="0" applyNumberFormat="1" applyFont="1" applyFill="1" applyBorder="1" applyAlignment="1">
      <alignment horizontal="left"/>
    </xf>
    <xf numFmtId="0" fontId="27" fillId="3" borderId="10" xfId="0" applyFont="1" applyFill="1" applyBorder="1" applyAlignment="1">
      <alignment horizontal="left"/>
    </xf>
    <xf numFmtId="0" fontId="24" fillId="3" borderId="10" xfId="0" applyFont="1" applyFill="1" applyBorder="1" applyAlignment="1">
      <alignment horizontal="left"/>
    </xf>
    <xf numFmtId="0" fontId="24" fillId="3" borderId="14" xfId="0" applyFont="1" applyFill="1" applyBorder="1" applyAlignment="1">
      <alignment horizontal="left" vertical="center" wrapText="1"/>
    </xf>
    <xf numFmtId="0" fontId="24" fillId="3" borderId="8" xfId="0" applyFont="1" applyFill="1" applyBorder="1" applyAlignment="1">
      <alignment horizontal="left" wrapText="1"/>
    </xf>
    <xf numFmtId="0" fontId="24" fillId="3" borderId="14" xfId="0" applyFont="1" applyFill="1" applyBorder="1" applyAlignment="1">
      <alignment horizontal="left" wrapText="1"/>
    </xf>
    <xf numFmtId="0" fontId="24" fillId="3" borderId="8" xfId="0" applyFont="1" applyFill="1" applyBorder="1"/>
    <xf numFmtId="0" fontId="27" fillId="3" borderId="14" xfId="0" applyFont="1" applyFill="1" applyBorder="1" applyAlignment="1">
      <alignment horizontal="left" wrapText="1"/>
    </xf>
    <xf numFmtId="0" fontId="24" fillId="3" borderId="13" xfId="0" applyFont="1" applyFill="1" applyBorder="1" applyAlignment="1">
      <alignment horizontal="left" vertical="center" wrapText="1"/>
    </xf>
    <xf numFmtId="3" fontId="24" fillId="3" borderId="13" xfId="0" applyNumberFormat="1" applyFont="1" applyFill="1" applyBorder="1" applyAlignment="1">
      <alignment horizontal="left" wrapText="1"/>
    </xf>
    <xf numFmtId="4" fontId="0" fillId="3" borderId="9" xfId="0" applyNumberFormat="1" applyFill="1" applyBorder="1"/>
    <xf numFmtId="0" fontId="24" fillId="3" borderId="10" xfId="0" applyFont="1" applyFill="1" applyBorder="1" applyAlignment="1">
      <alignment horizontal="left" wrapText="1"/>
    </xf>
    <xf numFmtId="2" fontId="13" fillId="7" borderId="10" xfId="0" applyNumberFormat="1" applyFont="1" applyFill="1" applyBorder="1" applyAlignment="1">
      <alignment horizontal="center" vertical="center" wrapText="1"/>
    </xf>
    <xf numFmtId="2" fontId="13" fillId="7" borderId="13" xfId="0" applyNumberFormat="1" applyFont="1" applyFill="1" applyBorder="1" applyAlignment="1">
      <alignment horizontal="left" vertical="center" wrapText="1"/>
    </xf>
    <xf numFmtId="2" fontId="13" fillId="9" borderId="13" xfId="0" applyNumberFormat="1" applyFont="1" applyFill="1" applyBorder="1" applyAlignment="1">
      <alignment horizontal="center" vertical="center" wrapText="1"/>
    </xf>
    <xf numFmtId="0" fontId="31" fillId="10" borderId="15" xfId="0" applyFont="1" applyFill="1" applyBorder="1" applyProtection="1">
      <protection locked="0"/>
    </xf>
    <xf numFmtId="0" fontId="31" fillId="10" borderId="0" xfId="0" applyFont="1" applyFill="1" applyProtection="1">
      <protection locked="0"/>
    </xf>
    <xf numFmtId="0" fontId="31" fillId="11" borderId="0" xfId="0" applyFont="1" applyFill="1" applyProtection="1">
      <protection locked="0"/>
    </xf>
    <xf numFmtId="4" fontId="25" fillId="10" borderId="16" xfId="0" applyNumberFormat="1" applyFont="1" applyFill="1" applyBorder="1" applyAlignment="1">
      <alignment horizontal="left" vertical="center" wrapText="1"/>
    </xf>
    <xf numFmtId="4" fontId="25" fillId="10" borderId="14" xfId="0" applyNumberFormat="1" applyFont="1" applyFill="1" applyBorder="1" applyAlignment="1">
      <alignment horizontal="left" vertical="center" wrapText="1"/>
    </xf>
    <xf numFmtId="4" fontId="44" fillId="10" borderId="17" xfId="0" applyNumberFormat="1" applyFont="1" applyFill="1" applyBorder="1" applyAlignment="1">
      <alignment horizontal="left" vertical="top" wrapText="1"/>
    </xf>
    <xf numFmtId="4" fontId="44" fillId="10" borderId="7" xfId="0" applyNumberFormat="1" applyFont="1" applyFill="1" applyBorder="1" applyAlignment="1">
      <alignment horizontal="left" vertical="top" wrapText="1"/>
    </xf>
    <xf numFmtId="4" fontId="48" fillId="5" borderId="14" xfId="0" applyNumberFormat="1" applyFont="1" applyFill="1" applyBorder="1" applyAlignment="1">
      <alignment horizontal="left" vertical="center" wrapText="1"/>
    </xf>
    <xf numFmtId="2" fontId="24" fillId="0" borderId="13" xfId="0" applyNumberFormat="1" applyFont="1" applyBorder="1" applyAlignment="1">
      <alignment horizontal="center" vertical="center" wrapText="1"/>
    </xf>
    <xf numFmtId="0" fontId="24" fillId="0" borderId="10" xfId="0" applyFont="1" applyBorder="1" applyAlignment="1" applyProtection="1">
      <alignment horizontal="left" wrapText="1"/>
      <protection locked="0"/>
    </xf>
    <xf numFmtId="0" fontId="24" fillId="0" borderId="4" xfId="0" applyFont="1" applyBorder="1" applyAlignment="1" applyProtection="1">
      <alignment horizontal="left" wrapText="1"/>
      <protection locked="0"/>
    </xf>
    <xf numFmtId="0" fontId="24" fillId="0" borderId="11" xfId="0" applyFont="1" applyBorder="1" applyAlignment="1" applyProtection="1">
      <alignment horizontal="left" wrapText="1"/>
      <protection locked="0"/>
    </xf>
    <xf numFmtId="0" fontId="24" fillId="0" borderId="11" xfId="0" applyFont="1" applyBorder="1" applyProtection="1">
      <protection locked="0"/>
    </xf>
    <xf numFmtId="0" fontId="24" fillId="0" borderId="10" xfId="0" applyFont="1" applyBorder="1" applyAlignment="1" applyProtection="1">
      <alignment vertical="center"/>
      <protection locked="0"/>
    </xf>
    <xf numFmtId="0" fontId="24" fillId="0" borderId="13" xfId="0" applyFont="1" applyBorder="1" applyAlignment="1" applyProtection="1">
      <alignment horizontal="left"/>
      <protection locked="0"/>
    </xf>
    <xf numFmtId="0" fontId="24" fillId="0" borderId="9" xfId="0" applyFont="1" applyBorder="1" applyAlignment="1" applyProtection="1">
      <alignment horizontal="left"/>
      <protection locked="0"/>
    </xf>
    <xf numFmtId="0" fontId="27" fillId="0" borderId="0" xfId="0" applyFont="1" applyProtection="1">
      <protection locked="0"/>
    </xf>
    <xf numFmtId="0" fontId="27" fillId="0" borderId="6" xfId="0" applyFont="1" applyBorder="1" applyProtection="1">
      <protection locked="0"/>
    </xf>
    <xf numFmtId="0" fontId="27" fillId="0" borderId="0" xfId="0" applyFont="1" applyAlignment="1" applyProtection="1">
      <alignment horizontal="center"/>
      <protection locked="0"/>
    </xf>
    <xf numFmtId="0" fontId="27" fillId="0" borderId="6" xfId="0" applyFont="1" applyBorder="1" applyAlignment="1" applyProtection="1">
      <alignment horizontal="center"/>
      <protection locked="0"/>
    </xf>
    <xf numFmtId="0" fontId="27" fillId="0" borderId="0" xfId="0" applyFont="1" applyAlignment="1" applyProtection="1">
      <alignment horizontal="left"/>
      <protection locked="0"/>
    </xf>
    <xf numFmtId="4" fontId="27" fillId="0" borderId="0" xfId="0" applyNumberFormat="1" applyFont="1" applyAlignment="1" applyProtection="1">
      <alignment horizontal="center"/>
      <protection locked="0"/>
    </xf>
    <xf numFmtId="4" fontId="27" fillId="0" borderId="6" xfId="0" applyNumberFormat="1" applyFont="1" applyBorder="1" applyAlignment="1" applyProtection="1">
      <alignment horizontal="center"/>
      <protection locked="0"/>
    </xf>
    <xf numFmtId="0" fontId="27" fillId="3" borderId="11" xfId="0" applyFont="1" applyFill="1" applyBorder="1" applyAlignment="1">
      <alignment horizontal="left" wrapText="1"/>
    </xf>
    <xf numFmtId="0" fontId="24" fillId="3" borderId="9" xfId="0" applyFont="1" applyFill="1" applyBorder="1" applyAlignment="1">
      <alignment horizontal="left"/>
    </xf>
    <xf numFmtId="0" fontId="26" fillId="0" borderId="8" xfId="0" applyFont="1" applyBorder="1"/>
    <xf numFmtId="4" fontId="26" fillId="0" borderId="8" xfId="0" applyNumberFormat="1" applyFont="1" applyBorder="1"/>
    <xf numFmtId="2" fontId="13" fillId="5" borderId="10" xfId="0" applyNumberFormat="1" applyFont="1" applyFill="1" applyBorder="1" applyAlignment="1">
      <alignment horizontal="center" vertical="center" wrapText="1"/>
    </xf>
    <xf numFmtId="4" fontId="19" fillId="0" borderId="10" xfId="0" applyNumberFormat="1" applyFont="1" applyBorder="1"/>
    <xf numFmtId="4" fontId="22" fillId="0" borderId="10" xfId="0" applyNumberFormat="1" applyFont="1" applyBorder="1"/>
    <xf numFmtId="2" fontId="13" fillId="9" borderId="19" xfId="0" applyNumberFormat="1" applyFont="1" applyFill="1" applyBorder="1" applyAlignment="1">
      <alignment horizontal="center" vertical="center" wrapText="1"/>
    </xf>
    <xf numFmtId="0" fontId="13" fillId="5" borderId="18" xfId="0" applyFont="1" applyFill="1" applyBorder="1" applyAlignment="1">
      <alignment horizontal="center" vertical="center" wrapText="1"/>
    </xf>
    <xf numFmtId="2" fontId="13" fillId="5" borderId="22" xfId="0" applyNumberFormat="1" applyFont="1" applyFill="1" applyBorder="1" applyAlignment="1">
      <alignment horizontal="center" vertical="center" wrapText="1"/>
    </xf>
    <xf numFmtId="0" fontId="13" fillId="9" borderId="20" xfId="0" applyFont="1" applyFill="1" applyBorder="1" applyAlignment="1">
      <alignment horizontal="center" vertical="center" wrapText="1"/>
    </xf>
    <xf numFmtId="2" fontId="13" fillId="9" borderId="21" xfId="0" applyNumberFormat="1" applyFont="1" applyFill="1" applyBorder="1" applyAlignment="1">
      <alignment horizontal="center" vertical="center" wrapText="1"/>
    </xf>
    <xf numFmtId="4" fontId="19" fillId="0" borderId="18" xfId="0" applyNumberFormat="1" applyFont="1" applyBorder="1"/>
    <xf numFmtId="4" fontId="19" fillId="0" borderId="22" xfId="0" applyNumberFormat="1" applyFont="1" applyBorder="1"/>
    <xf numFmtId="4" fontId="22" fillId="0" borderId="18" xfId="0" applyNumberFormat="1" applyFont="1" applyBorder="1"/>
    <xf numFmtId="4" fontId="41" fillId="8" borderId="22" xfId="44" applyNumberFormat="1" applyFill="1" applyBorder="1" applyAlignment="1">
      <alignment horizontal="right" wrapText="1"/>
    </xf>
    <xf numFmtId="2" fontId="13" fillId="7" borderId="18" xfId="0" applyNumberFormat="1" applyFont="1" applyFill="1" applyBorder="1" applyAlignment="1">
      <alignment horizontal="center" vertical="center" wrapText="1"/>
    </xf>
    <xf numFmtId="2" fontId="13" fillId="7" borderId="20" xfId="0" applyNumberFormat="1" applyFont="1" applyFill="1" applyBorder="1" applyAlignment="1">
      <alignment horizontal="center" vertical="center" wrapText="1"/>
    </xf>
    <xf numFmtId="4" fontId="19" fillId="0" borderId="27" xfId="0" applyNumberFormat="1" applyFont="1" applyBorder="1"/>
    <xf numFmtId="4" fontId="19" fillId="0" borderId="28" xfId="0" applyNumberFormat="1" applyFont="1" applyBorder="1"/>
    <xf numFmtId="4" fontId="19" fillId="0" borderId="29" xfId="0" applyNumberFormat="1" applyFont="1" applyBorder="1"/>
    <xf numFmtId="10" fontId="19" fillId="0" borderId="28" xfId="4" applyNumberFormat="1" applyFont="1" applyBorder="1"/>
    <xf numFmtId="4" fontId="19" fillId="0" borderId="30" xfId="0" applyNumberFormat="1" applyFont="1" applyBorder="1"/>
    <xf numFmtId="164" fontId="46" fillId="7" borderId="31" xfId="0" applyNumberFormat="1" applyFont="1" applyFill="1" applyBorder="1" applyAlignment="1">
      <alignment horizontal="center" vertical="center" wrapText="1"/>
    </xf>
    <xf numFmtId="164" fontId="46" fillId="7" borderId="2" xfId="0" applyNumberFormat="1" applyFont="1" applyFill="1" applyBorder="1" applyAlignment="1">
      <alignment horizontal="center" vertical="center" wrapText="1"/>
    </xf>
    <xf numFmtId="10" fontId="41" fillId="8" borderId="10" xfId="44" applyNumberFormat="1" applyFill="1" applyBorder="1" applyAlignment="1">
      <alignment horizontal="right" wrapText="1"/>
    </xf>
    <xf numFmtId="10" fontId="19" fillId="0" borderId="29" xfId="0" applyNumberFormat="1" applyFont="1" applyBorder="1"/>
    <xf numFmtId="0" fontId="0" fillId="7" borderId="13" xfId="0" applyFill="1" applyBorder="1" applyAlignment="1">
      <alignment horizontal="center" vertical="center" wrapText="1"/>
    </xf>
    <xf numFmtId="0" fontId="0" fillId="6" borderId="0" xfId="0" applyFill="1"/>
    <xf numFmtId="0" fontId="27" fillId="6" borderId="0" xfId="0" applyFont="1" applyFill="1" applyAlignment="1">
      <alignment horizontal="right" wrapText="1"/>
    </xf>
    <xf numFmtId="10" fontId="24" fillId="3" borderId="12" xfId="0" applyNumberFormat="1" applyFont="1" applyFill="1" applyBorder="1" applyAlignment="1">
      <alignment horizontal="left"/>
    </xf>
    <xf numFmtId="49" fontId="23" fillId="3" borderId="15"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0" fillId="0" borderId="0" xfId="0" applyNumberFormat="1"/>
    <xf numFmtId="49" fontId="24" fillId="0" borderId="0" xfId="0" applyNumberFormat="1" applyFont="1"/>
    <xf numFmtId="49" fontId="23" fillId="0" borderId="3" xfId="0" applyNumberFormat="1" applyFont="1" applyBorder="1" applyAlignment="1" applyProtection="1">
      <alignment horizontal="left" vertical="top"/>
      <protection locked="0"/>
    </xf>
    <xf numFmtId="49" fontId="22" fillId="0" borderId="18" xfId="0" applyNumberFormat="1" applyFont="1" applyBorder="1"/>
    <xf numFmtId="49" fontId="12" fillId="0" borderId="3" xfId="0" applyNumberFormat="1" applyFont="1" applyBorder="1" applyProtection="1">
      <protection locked="0"/>
    </xf>
    <xf numFmtId="2" fontId="49" fillId="12" borderId="8" xfId="0" applyNumberFormat="1" applyFont="1" applyFill="1" applyBorder="1" applyAlignment="1" applyProtection="1">
      <alignment horizontal="center" vertical="center" wrapText="1"/>
      <protection locked="0"/>
    </xf>
    <xf numFmtId="0" fontId="24" fillId="12" borderId="10" xfId="0" applyFont="1" applyFill="1" applyBorder="1" applyAlignment="1" applyProtection="1">
      <alignment horizontal="left"/>
      <protection locked="0"/>
    </xf>
    <xf numFmtId="0" fontId="19" fillId="12" borderId="18" xfId="0" applyFont="1" applyFill="1" applyBorder="1" applyAlignment="1" applyProtection="1">
      <alignment vertical="top" wrapText="1"/>
      <protection locked="0"/>
    </xf>
    <xf numFmtId="0" fontId="19" fillId="12" borderId="8" xfId="0" applyFont="1" applyFill="1" applyBorder="1" applyAlignment="1" applyProtection="1">
      <alignment vertical="top" wrapText="1"/>
      <protection locked="0"/>
    </xf>
    <xf numFmtId="0" fontId="22" fillId="12" borderId="18" xfId="0" applyFont="1" applyFill="1" applyBorder="1" applyAlignment="1" applyProtection="1">
      <alignment vertical="top" wrapText="1"/>
      <protection locked="0"/>
    </xf>
    <xf numFmtId="0" fontId="22" fillId="12" borderId="8" xfId="0" applyFont="1" applyFill="1" applyBorder="1" applyAlignment="1" applyProtection="1">
      <alignment vertical="top" wrapText="1"/>
      <protection locked="0"/>
    </xf>
    <xf numFmtId="4" fontId="22" fillId="12" borderId="8" xfId="0" applyNumberFormat="1" applyFont="1" applyFill="1" applyBorder="1" applyProtection="1">
      <protection locked="0"/>
    </xf>
    <xf numFmtId="10" fontId="19" fillId="12" borderId="10" xfId="0" applyNumberFormat="1" applyFont="1" applyFill="1" applyBorder="1" applyProtection="1">
      <protection locked="0"/>
    </xf>
    <xf numFmtId="0" fontId="26" fillId="12" borderId="8" xfId="0" applyFont="1" applyFill="1" applyBorder="1" applyProtection="1">
      <protection locked="0"/>
    </xf>
    <xf numFmtId="165" fontId="26" fillId="12" borderId="8" xfId="0" applyNumberFormat="1" applyFont="1" applyFill="1" applyBorder="1" applyProtection="1">
      <protection locked="0"/>
    </xf>
    <xf numFmtId="49" fontId="50" fillId="6" borderId="15" xfId="0" applyNumberFormat="1" applyFont="1" applyFill="1" applyBorder="1" applyAlignment="1" applyProtection="1">
      <alignment horizontal="left"/>
      <protection locked="0"/>
    </xf>
    <xf numFmtId="2" fontId="24" fillId="0" borderId="8" xfId="0" applyNumberFormat="1" applyFont="1" applyBorder="1" applyAlignment="1">
      <alignment horizontal="left" vertical="center" wrapText="1"/>
    </xf>
    <xf numFmtId="2" fontId="24" fillId="12" borderId="8" xfId="0" applyNumberFormat="1" applyFont="1" applyFill="1" applyBorder="1" applyAlignment="1" applyProtection="1">
      <alignment horizontal="left" vertical="center" wrapText="1"/>
      <protection locked="0"/>
    </xf>
    <xf numFmtId="2" fontId="24" fillId="12" borderId="8" xfId="0" applyNumberFormat="1" applyFont="1" applyFill="1" applyBorder="1" applyAlignment="1">
      <alignment horizontal="left" vertical="center" wrapText="1"/>
    </xf>
    <xf numFmtId="0" fontId="36" fillId="5" borderId="8" xfId="0" applyFont="1" applyFill="1" applyBorder="1" applyAlignment="1">
      <alignment horizontal="left" vertical="center" wrapText="1"/>
    </xf>
    <xf numFmtId="4" fontId="36" fillId="5" borderId="8" xfId="0" applyNumberFormat="1" applyFont="1" applyFill="1" applyBorder="1" applyAlignment="1">
      <alignment horizontal="left" vertical="center" wrapText="1"/>
    </xf>
    <xf numFmtId="0" fontId="36" fillId="5" borderId="8" xfId="43" applyFont="1" applyFill="1" applyBorder="1" applyAlignment="1">
      <alignment horizontal="left" vertical="center" wrapText="1"/>
    </xf>
    <xf numFmtId="166" fontId="13" fillId="12" borderId="2" xfId="0" applyNumberFormat="1" applyFont="1" applyFill="1" applyBorder="1" applyAlignment="1" applyProtection="1">
      <alignment horizontal="center" vertical="center" wrapText="1"/>
      <protection locked="0"/>
    </xf>
    <xf numFmtId="4" fontId="24" fillId="0" borderId="8" xfId="0" applyNumberFormat="1" applyFont="1" applyBorder="1" applyAlignment="1">
      <alignment horizontal="left" vertical="center" wrapText="1"/>
    </xf>
    <xf numFmtId="4" fontId="19" fillId="0" borderId="0" xfId="0" applyNumberFormat="1" applyFont="1"/>
    <xf numFmtId="10" fontId="19" fillId="0" borderId="0" xfId="0" applyNumberFormat="1" applyFont="1"/>
    <xf numFmtId="4" fontId="47" fillId="0" borderId="0" xfId="0" applyNumberFormat="1" applyFont="1"/>
    <xf numFmtId="10" fontId="19" fillId="0" borderId="0" xfId="4" applyNumberFormat="1" applyFont="1" applyBorder="1"/>
    <xf numFmtId="10" fontId="24" fillId="0" borderId="12" xfId="0" applyNumberFormat="1" applyFont="1" applyBorder="1" applyAlignment="1">
      <alignment horizontal="left"/>
    </xf>
    <xf numFmtId="2" fontId="13" fillId="5" borderId="19" xfId="0" applyNumberFormat="1" applyFont="1" applyFill="1" applyBorder="1" applyAlignment="1">
      <alignment horizontal="center" vertical="center" wrapText="1"/>
    </xf>
    <xf numFmtId="4" fontId="19" fillId="0" borderId="20" xfId="0" applyNumberFormat="1" applyFont="1" applyBorder="1"/>
    <xf numFmtId="4" fontId="41" fillId="8" borderId="19" xfId="44" applyNumberFormat="1" applyFill="1" applyBorder="1" applyAlignment="1">
      <alignment horizontal="right" wrapText="1"/>
    </xf>
    <xf numFmtId="4" fontId="19" fillId="0" borderId="32" xfId="0" applyNumberFormat="1" applyFont="1" applyBorder="1"/>
    <xf numFmtId="2" fontId="13" fillId="9" borderId="10" xfId="0" applyNumberFormat="1" applyFont="1" applyFill="1" applyBorder="1" applyAlignment="1">
      <alignment horizontal="center" vertical="center" wrapText="1"/>
    </xf>
    <xf numFmtId="4" fontId="24" fillId="0" borderId="13" xfId="0" applyNumberFormat="1" applyFont="1" applyBorder="1"/>
    <xf numFmtId="10" fontId="24" fillId="0" borderId="9" xfId="0" applyNumberFormat="1" applyFont="1" applyBorder="1" applyAlignment="1">
      <alignment horizontal="left"/>
    </xf>
    <xf numFmtId="3" fontId="24" fillId="0" borderId="13" xfId="0" applyNumberFormat="1" applyFont="1" applyBorder="1" applyAlignment="1">
      <alignment horizontal="left" wrapText="1"/>
    </xf>
    <xf numFmtId="4" fontId="32" fillId="0" borderId="11" xfId="0" applyNumberFormat="1" applyFont="1" applyBorder="1"/>
    <xf numFmtId="4" fontId="50" fillId="6" borderId="0" xfId="0" applyNumberFormat="1" applyFont="1" applyFill="1" applyAlignment="1" applyProtection="1">
      <alignment vertical="top"/>
      <protection hidden="1"/>
    </xf>
    <xf numFmtId="2" fontId="36" fillId="5" borderId="18" xfId="0" applyNumberFormat="1" applyFont="1" applyFill="1" applyBorder="1" applyAlignment="1">
      <alignment horizontal="center" vertical="center" wrapText="1"/>
    </xf>
    <xf numFmtId="2" fontId="36" fillId="5" borderId="9" xfId="0" applyNumberFormat="1" applyFont="1" applyFill="1" applyBorder="1" applyAlignment="1">
      <alignment horizontal="center" vertical="center" wrapText="1"/>
    </xf>
    <xf numFmtId="0" fontId="36" fillId="5" borderId="9" xfId="0" applyFont="1" applyFill="1" applyBorder="1" applyAlignment="1">
      <alignment horizontal="center" vertical="center" wrapText="1"/>
    </xf>
    <xf numFmtId="2" fontId="54" fillId="5" borderId="8" xfId="0" applyNumberFormat="1" applyFont="1" applyFill="1" applyBorder="1" applyAlignment="1">
      <alignment horizontal="center" vertical="center" wrapText="1"/>
    </xf>
    <xf numFmtId="2" fontId="54" fillId="5" borderId="9" xfId="0" applyNumberFormat="1" applyFont="1" applyFill="1" applyBorder="1" applyAlignment="1">
      <alignment horizontal="center" vertical="center" wrapText="1"/>
    </xf>
    <xf numFmtId="0" fontId="54" fillId="5" borderId="9" xfId="0" applyFont="1" applyFill="1" applyBorder="1" applyAlignment="1">
      <alignment horizontal="center" vertical="center" wrapText="1"/>
    </xf>
    <xf numFmtId="2" fontId="36" fillId="5" borderId="8" xfId="0" applyNumberFormat="1" applyFont="1" applyFill="1" applyBorder="1" applyAlignment="1">
      <alignment horizontal="center" vertical="center" wrapText="1"/>
    </xf>
    <xf numFmtId="2" fontId="36" fillId="5" borderId="3" xfId="0" applyNumberFormat="1" applyFont="1" applyFill="1" applyBorder="1" applyAlignment="1">
      <alignment horizontal="center" vertical="center" wrapText="1"/>
    </xf>
    <xf numFmtId="2" fontId="56" fillId="5" borderId="3" xfId="0" applyNumberFormat="1" applyFont="1" applyFill="1" applyBorder="1" applyAlignment="1">
      <alignment horizontal="center" vertical="center" wrapText="1"/>
    </xf>
    <xf numFmtId="166" fontId="54" fillId="12" borderId="8" xfId="0" applyNumberFormat="1" applyFont="1" applyFill="1" applyBorder="1" applyAlignment="1" applyProtection="1">
      <alignment horizontal="center" vertical="center" wrapText="1"/>
      <protection locked="0"/>
    </xf>
    <xf numFmtId="2" fontId="54" fillId="5" borderId="3" xfId="0" applyNumberFormat="1"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4" fontId="36" fillId="0" borderId="8" xfId="0" applyNumberFormat="1" applyFont="1" applyBorder="1"/>
    <xf numFmtId="4" fontId="36" fillId="0" borderId="9" xfId="0" applyNumberFormat="1" applyFont="1" applyBorder="1"/>
    <xf numFmtId="4" fontId="56" fillId="12" borderId="8" xfId="0" applyNumberFormat="1" applyFont="1" applyFill="1" applyBorder="1" applyProtection="1">
      <protection locked="0"/>
    </xf>
    <xf numFmtId="4" fontId="57" fillId="8" borderId="8" xfId="44" applyNumberFormat="1" applyFont="1" applyFill="1" applyBorder="1" applyAlignment="1">
      <alignment horizontal="right" wrapText="1"/>
    </xf>
    <xf numFmtId="4" fontId="55" fillId="8" borderId="8" xfId="44" applyNumberFormat="1" applyFont="1" applyFill="1" applyBorder="1" applyAlignment="1">
      <alignment horizontal="right" wrapText="1"/>
    </xf>
    <xf numFmtId="4" fontId="36" fillId="0" borderId="27" xfId="0" applyNumberFormat="1" applyFont="1" applyBorder="1"/>
    <xf numFmtId="4" fontId="36" fillId="0" borderId="28" xfId="0" applyNumberFormat="1" applyFont="1" applyBorder="1"/>
    <xf numFmtId="0" fontId="54" fillId="5" borderId="8" xfId="0" applyFont="1" applyFill="1" applyBorder="1" applyAlignment="1">
      <alignment horizontal="center" vertical="center" wrapText="1"/>
    </xf>
    <xf numFmtId="14" fontId="56" fillId="12" borderId="8" xfId="0" applyNumberFormat="1" applyFont="1" applyFill="1" applyBorder="1" applyAlignment="1" applyProtection="1">
      <alignment horizontal="left" vertical="center" wrapText="1"/>
      <protection locked="0"/>
    </xf>
    <xf numFmtId="4" fontId="56" fillId="13" borderId="8" xfId="0" applyNumberFormat="1" applyFont="1" applyFill="1" applyBorder="1" applyProtection="1">
      <protection locked="0"/>
    </xf>
    <xf numFmtId="0" fontId="22" fillId="12" borderId="18" xfId="0" applyFont="1" applyFill="1" applyBorder="1" applyAlignment="1" applyProtection="1">
      <alignment horizontal="right" vertical="top" wrapText="1"/>
      <protection locked="0"/>
    </xf>
    <xf numFmtId="0" fontId="24" fillId="12" borderId="11" xfId="0" applyFont="1" applyFill="1" applyBorder="1" applyProtection="1">
      <protection locked="0"/>
    </xf>
    <xf numFmtId="0" fontId="24" fillId="12" borderId="11" xfId="0" applyFont="1" applyFill="1" applyBorder="1"/>
    <xf numFmtId="0" fontId="27" fillId="0" borderId="4" xfId="0" applyFont="1" applyBorder="1"/>
    <xf numFmtId="0" fontId="24" fillId="0" borderId="4" xfId="0" applyFont="1" applyBorder="1"/>
    <xf numFmtId="2" fontId="13" fillId="4" borderId="8"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9" xfId="0" applyFont="1" applyFill="1" applyBorder="1" applyAlignment="1">
      <alignment horizontal="center" vertical="center" wrapText="1"/>
    </xf>
    <xf numFmtId="2" fontId="13" fillId="4" borderId="9" xfId="0" applyNumberFormat="1" applyFont="1" applyFill="1" applyBorder="1" applyAlignment="1">
      <alignment horizontal="center" vertical="center" wrapText="1"/>
    </xf>
    <xf numFmtId="4" fontId="41" fillId="8" borderId="9" xfId="44" applyNumberFormat="1" applyFill="1" applyBorder="1" applyAlignment="1">
      <alignment horizontal="right" wrapText="1"/>
    </xf>
    <xf numFmtId="2" fontId="13" fillId="4" borderId="22"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1" xfId="0" applyFont="1" applyFill="1" applyBorder="1" applyAlignment="1">
      <alignment horizontal="center" vertical="center" wrapText="1"/>
    </xf>
    <xf numFmtId="49" fontId="23" fillId="0" borderId="26" xfId="0" applyNumberFormat="1" applyFont="1" applyBorder="1" applyAlignment="1" applyProtection="1">
      <alignment horizontal="left" vertical="top"/>
      <protection locked="0"/>
    </xf>
    <xf numFmtId="4" fontId="19" fillId="12" borderId="9" xfId="0" applyNumberFormat="1" applyFont="1" applyFill="1" applyBorder="1" applyAlignment="1" applyProtection="1">
      <alignment horizontal="right" wrapText="1"/>
      <protection locked="0"/>
    </xf>
    <xf numFmtId="4" fontId="19" fillId="0" borderId="6" xfId="0" applyNumberFormat="1" applyFont="1" applyBorder="1"/>
    <xf numFmtId="0" fontId="26" fillId="12" borderId="8" xfId="0" applyFont="1" applyFill="1" applyBorder="1" applyAlignment="1" applyProtection="1">
      <alignment wrapText="1"/>
      <protection locked="0"/>
    </xf>
    <xf numFmtId="4" fontId="55" fillId="13" borderId="8" xfId="44" applyNumberFormat="1" applyFont="1" applyFill="1" applyBorder="1" applyAlignment="1">
      <alignment horizontal="right" wrapText="1"/>
    </xf>
    <xf numFmtId="0" fontId="10" fillId="13" borderId="0" xfId="0" applyFont="1" applyFill="1" applyProtection="1">
      <protection locked="0"/>
    </xf>
    <xf numFmtId="0" fontId="59" fillId="12" borderId="8" xfId="0" applyFont="1" applyFill="1" applyBorder="1" applyAlignment="1" applyProtection="1">
      <alignment wrapText="1"/>
      <protection locked="0"/>
    </xf>
    <xf numFmtId="0" fontId="8" fillId="5" borderId="8" xfId="37" applyFill="1" applyBorder="1" applyAlignment="1" applyProtection="1">
      <alignment horizontal="right" vertical="top" wrapText="1"/>
      <protection locked="0"/>
    </xf>
    <xf numFmtId="3" fontId="26" fillId="12" borderId="8" xfId="0" applyNumberFormat="1" applyFont="1" applyFill="1" applyBorder="1" applyProtection="1">
      <protection locked="0"/>
    </xf>
    <xf numFmtId="14" fontId="24" fillId="0" borderId="9" xfId="0" applyNumberFormat="1" applyFont="1" applyBorder="1" applyAlignment="1" applyProtection="1">
      <alignment horizontal="left"/>
      <protection locked="0"/>
    </xf>
    <xf numFmtId="166" fontId="36" fillId="0" borderId="18" xfId="0" applyNumberFormat="1" applyFont="1" applyBorder="1" applyAlignment="1" applyProtection="1">
      <alignment horizontal="center" vertical="center" wrapText="1"/>
      <protection locked="0"/>
    </xf>
    <xf numFmtId="4" fontId="24" fillId="12" borderId="8" xfId="0" applyNumberFormat="1" applyFont="1" applyFill="1" applyBorder="1" applyAlignment="1" applyProtection="1">
      <alignment horizontal="left" vertical="center" wrapText="1"/>
      <protection locked="0"/>
    </xf>
    <xf numFmtId="0" fontId="24" fillId="12" borderId="8" xfId="0" applyFont="1" applyFill="1" applyBorder="1" applyAlignment="1" applyProtection="1">
      <alignment horizontal="left" vertical="center" wrapText="1"/>
      <protection locked="0"/>
    </xf>
    <xf numFmtId="1" fontId="24" fillId="12" borderId="8" xfId="0" applyNumberFormat="1" applyFont="1" applyFill="1" applyBorder="1" applyAlignment="1" applyProtection="1">
      <alignment horizontal="left" vertical="center" wrapText="1"/>
      <protection locked="0"/>
    </xf>
    <xf numFmtId="0" fontId="26" fillId="0" borderId="18" xfId="0" applyFont="1" applyBorder="1" applyAlignment="1" applyProtection="1">
      <alignment wrapText="1"/>
      <protection locked="0"/>
    </xf>
    <xf numFmtId="0" fontId="26" fillId="0" borderId="8" xfId="0" applyFont="1" applyBorder="1" applyAlignment="1" applyProtection="1">
      <alignment wrapText="1"/>
      <protection locked="0"/>
    </xf>
    <xf numFmtId="0" fontId="8" fillId="0" borderId="8" xfId="37" applyBorder="1" applyAlignment="1" applyProtection="1">
      <alignment horizontal="left" vertical="top" wrapText="1"/>
      <protection locked="0"/>
    </xf>
    <xf numFmtId="0" fontId="8" fillId="0" borderId="0" xfId="0" applyFont="1" applyProtection="1">
      <protection locked="0"/>
    </xf>
    <xf numFmtId="0" fontId="10" fillId="5" borderId="7" xfId="37" applyFont="1" applyFill="1" applyBorder="1" applyAlignment="1" applyProtection="1">
      <alignment horizontal="right" vertical="top" wrapText="1"/>
      <protection locked="0"/>
    </xf>
    <xf numFmtId="0" fontId="8" fillId="0" borderId="10" xfId="37" applyBorder="1" applyAlignment="1" applyProtection="1">
      <alignment horizontal="left" vertical="top" wrapText="1"/>
      <protection locked="0"/>
    </xf>
    <xf numFmtId="0" fontId="8" fillId="0" borderId="14" xfId="37" applyBorder="1" applyAlignment="1" applyProtection="1">
      <alignment horizontal="left" vertical="top" wrapText="1"/>
      <protection locked="0"/>
    </xf>
    <xf numFmtId="0" fontId="8" fillId="0" borderId="7" xfId="37" applyBorder="1" applyAlignment="1" applyProtection="1">
      <alignment horizontal="left" vertical="top" wrapText="1"/>
      <protection locked="0"/>
    </xf>
    <xf numFmtId="0" fontId="8" fillId="0" borderId="33" xfId="37" applyBorder="1" applyAlignment="1" applyProtection="1">
      <alignment horizontal="left" vertical="top" wrapText="1"/>
      <protection locked="0"/>
    </xf>
    <xf numFmtId="0" fontId="8" fillId="5" borderId="7" xfId="37" applyFill="1" applyBorder="1" applyAlignment="1" applyProtection="1">
      <alignment horizontal="right" vertical="top" wrapText="1"/>
      <protection locked="0"/>
    </xf>
    <xf numFmtId="0" fontId="10" fillId="5" borderId="33" xfId="37" applyFont="1" applyFill="1" applyBorder="1" applyAlignment="1" applyProtection="1">
      <alignment horizontal="right" vertical="top" wrapText="1"/>
      <protection locked="0"/>
    </xf>
    <xf numFmtId="9" fontId="8" fillId="5" borderId="7" xfId="37" applyNumberFormat="1" applyFill="1" applyBorder="1" applyAlignment="1" applyProtection="1">
      <alignment horizontal="right" vertical="top" wrapText="1"/>
      <protection locked="0"/>
    </xf>
    <xf numFmtId="0" fontId="8" fillId="0" borderId="11" xfId="37" applyBorder="1" applyAlignment="1" applyProtection="1">
      <alignment horizontal="left" vertical="top" wrapText="1"/>
      <protection locked="0"/>
    </xf>
    <xf numFmtId="49" fontId="21" fillId="6" borderId="0" xfId="0" applyNumberFormat="1" applyFont="1" applyFill="1" applyAlignment="1">
      <alignment horizontal="left" wrapText="1"/>
    </xf>
    <xf numFmtId="0" fontId="8" fillId="0" borderId="0" xfId="0" applyFont="1" applyAlignment="1" applyProtection="1">
      <alignment wrapText="1"/>
      <protection locked="0"/>
    </xf>
    <xf numFmtId="0" fontId="26" fillId="12" borderId="8" xfId="0" applyFont="1" applyFill="1" applyBorder="1" applyAlignment="1" applyProtection="1">
      <alignment vertical="center" wrapText="1"/>
      <protection locked="0"/>
    </xf>
    <xf numFmtId="14" fontId="26" fillId="12" borderId="8" xfId="0" applyNumberFormat="1" applyFont="1" applyFill="1" applyBorder="1" applyProtection="1">
      <protection locked="0"/>
    </xf>
    <xf numFmtId="0" fontId="26" fillId="12" borderId="8" xfId="0" applyFont="1" applyFill="1" applyBorder="1" applyAlignment="1" applyProtection="1">
      <alignment horizontal="left" vertical="center" wrapText="1"/>
      <protection locked="0"/>
    </xf>
    <xf numFmtId="49" fontId="8" fillId="0" borderId="0" xfId="0" applyNumberFormat="1" applyFont="1" applyAlignment="1" applyProtection="1">
      <alignment vertical="top" wrapText="1"/>
      <protection locked="0"/>
    </xf>
    <xf numFmtId="49" fontId="8" fillId="0" borderId="0" xfId="37" applyNumberFormat="1" applyAlignment="1" applyProtection="1">
      <alignment vertical="top" wrapText="1"/>
      <protection locked="0"/>
    </xf>
    <xf numFmtId="9" fontId="0" fillId="0" borderId="0" xfId="4" applyFont="1" applyProtection="1">
      <protection locked="0"/>
    </xf>
    <xf numFmtId="0" fontId="59" fillId="12" borderId="8" xfId="0" applyFont="1" applyFill="1" applyBorder="1" applyAlignment="1" applyProtection="1">
      <alignment vertical="top" wrapText="1"/>
      <protection locked="0"/>
    </xf>
    <xf numFmtId="4" fontId="60" fillId="5" borderId="2" xfId="0" applyNumberFormat="1" applyFont="1" applyFill="1" applyBorder="1" applyAlignment="1">
      <alignment horizontal="left" vertical="top" wrapText="1"/>
    </xf>
    <xf numFmtId="4" fontId="20" fillId="5" borderId="3" xfId="0" applyNumberFormat="1" applyFont="1" applyFill="1" applyBorder="1" applyAlignment="1">
      <alignment horizontal="left" vertical="top" wrapText="1"/>
    </xf>
    <xf numFmtId="2" fontId="13" fillId="5" borderId="20"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36" fillId="5" borderId="8" xfId="0" applyFont="1" applyFill="1" applyBorder="1" applyAlignment="1">
      <alignment horizontal="left" vertical="center" wrapText="1"/>
    </xf>
    <xf numFmtId="0" fontId="0" fillId="0" borderId="8" xfId="0" applyBorder="1" applyAlignment="1">
      <alignment horizontal="left" vertical="center" wrapText="1"/>
    </xf>
    <xf numFmtId="2" fontId="13" fillId="4" borderId="20" xfId="0" applyNumberFormat="1" applyFont="1" applyFill="1" applyBorder="1" applyAlignment="1">
      <alignment horizontal="center" vertical="center" wrapText="1"/>
    </xf>
    <xf numFmtId="0" fontId="0" fillId="0" borderId="21" xfId="0" applyBorder="1" applyAlignment="1">
      <alignment horizontal="center" vertical="center" wrapText="1"/>
    </xf>
    <xf numFmtId="4" fontId="18" fillId="0" borderId="10" xfId="0" applyNumberFormat="1" applyFont="1" applyBorder="1" applyAlignment="1" applyProtection="1">
      <alignment horizontal="left" vertical="top" wrapText="1"/>
      <protection locked="0"/>
    </xf>
    <xf numFmtId="4" fontId="18" fillId="0" borderId="13" xfId="0" applyNumberFormat="1" applyFont="1" applyBorder="1" applyAlignment="1" applyProtection="1">
      <alignment horizontal="left" vertical="top" wrapText="1"/>
      <protection locked="0"/>
    </xf>
    <xf numFmtId="4" fontId="20" fillId="5" borderId="2" xfId="0" applyNumberFormat="1" applyFont="1" applyFill="1" applyBorder="1" applyAlignment="1">
      <alignment horizontal="left" vertical="top" wrapText="1"/>
    </xf>
    <xf numFmtId="4" fontId="20" fillId="5" borderId="10" xfId="0" applyNumberFormat="1" applyFont="1" applyFill="1" applyBorder="1" applyAlignment="1">
      <alignment horizontal="left" vertical="top" wrapText="1"/>
    </xf>
    <xf numFmtId="4" fontId="20" fillId="5" borderId="13" xfId="0" applyNumberFormat="1" applyFont="1" applyFill="1" applyBorder="1" applyAlignment="1">
      <alignment horizontal="left" vertical="top" wrapText="1"/>
    </xf>
    <xf numFmtId="0" fontId="0" fillId="0" borderId="13" xfId="0" applyBorder="1" applyAlignment="1">
      <alignment horizontal="left" vertical="top" wrapText="1"/>
    </xf>
    <xf numFmtId="0" fontId="27" fillId="6" borderId="0" xfId="0" applyFont="1" applyFill="1" applyAlignment="1" applyProtection="1">
      <alignment horizontal="right" wrapText="1"/>
      <protection locked="0"/>
    </xf>
    <xf numFmtId="0" fontId="0" fillId="6" borderId="0" xfId="0" applyFill="1" applyProtection="1">
      <protection locked="0"/>
    </xf>
    <xf numFmtId="0" fontId="0" fillId="6" borderId="25" xfId="0" applyFill="1" applyBorder="1" applyProtection="1">
      <protection locked="0"/>
    </xf>
    <xf numFmtId="0" fontId="24" fillId="6" borderId="23" xfId="0" applyFont="1" applyFill="1" applyBorder="1" applyAlignment="1" applyProtection="1">
      <alignment horizontal="center" vertical="center"/>
      <protection locked="0"/>
    </xf>
    <xf numFmtId="0" fontId="24" fillId="6" borderId="24" xfId="0" applyFont="1" applyFill="1" applyBorder="1" applyAlignment="1" applyProtection="1">
      <alignment horizontal="center" vertical="center"/>
      <protection locked="0"/>
    </xf>
    <xf numFmtId="0" fontId="24" fillId="6" borderId="15" xfId="0" applyFont="1" applyFill="1" applyBorder="1" applyAlignment="1" applyProtection="1">
      <alignment horizontal="center" vertical="center" wrapText="1"/>
      <protection locked="0"/>
    </xf>
    <xf numFmtId="0" fontId="24" fillId="6" borderId="0" xfId="0" applyFont="1" applyFill="1" applyAlignment="1" applyProtection="1">
      <alignment horizontal="center" vertical="center" wrapText="1"/>
      <protection locked="0"/>
    </xf>
    <xf numFmtId="49" fontId="17" fillId="6" borderId="15" xfId="0" applyNumberFormat="1" applyFont="1" applyFill="1" applyBorder="1" applyAlignment="1" applyProtection="1">
      <alignment horizontal="center" vertical="center" wrapText="1"/>
      <protection locked="0"/>
    </xf>
    <xf numFmtId="49" fontId="17" fillId="6" borderId="0" xfId="0" applyNumberFormat="1" applyFont="1" applyFill="1" applyAlignment="1" applyProtection="1">
      <alignment horizontal="center" vertical="center" wrapText="1"/>
      <protection locked="0"/>
    </xf>
    <xf numFmtId="2" fontId="13" fillId="7" borderId="20" xfId="0" applyNumberFormat="1" applyFont="1" applyFill="1" applyBorder="1" applyAlignment="1">
      <alignment horizontal="center" vertical="center" wrapText="1"/>
    </xf>
    <xf numFmtId="2" fontId="13" fillId="7" borderId="13" xfId="0" applyNumberFormat="1" applyFont="1" applyFill="1" applyBorder="1" applyAlignment="1">
      <alignment horizontal="center" vertical="center" wrapText="1"/>
    </xf>
    <xf numFmtId="0" fontId="0" fillId="7" borderId="13" xfId="0"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36" fillId="5" borderId="18" xfId="0" applyFont="1" applyFill="1" applyBorder="1" applyAlignment="1">
      <alignment horizontal="left" vertical="center" wrapText="1"/>
    </xf>
    <xf numFmtId="0" fontId="21" fillId="5" borderId="10" xfId="0" applyFont="1" applyFill="1" applyBorder="1" applyAlignment="1">
      <alignment horizontal="left" vertical="center"/>
    </xf>
    <xf numFmtId="0" fontId="0" fillId="5" borderId="13" xfId="0" applyFill="1" applyBorder="1" applyAlignment="1">
      <alignment horizontal="left" vertical="center"/>
    </xf>
    <xf numFmtId="0" fontId="0" fillId="5" borderId="9" xfId="0" applyFill="1" applyBorder="1" applyAlignment="1">
      <alignment horizontal="left" vertical="center"/>
    </xf>
    <xf numFmtId="0" fontId="24" fillId="12" borderId="10" xfId="0" applyFont="1" applyFill="1" applyBorder="1" applyAlignment="1" applyProtection="1">
      <alignment horizontal="left" wrapText="1"/>
      <protection locked="0"/>
    </xf>
    <xf numFmtId="0" fontId="24" fillId="12" borderId="13" xfId="0" applyFont="1" applyFill="1" applyBorder="1" applyAlignment="1" applyProtection="1">
      <alignment horizontal="left" wrapText="1"/>
      <protection locked="0"/>
    </xf>
    <xf numFmtId="0" fontId="24" fillId="12" borderId="9" xfId="0" applyFont="1" applyFill="1" applyBorder="1" applyAlignment="1" applyProtection="1">
      <alignment horizontal="left" wrapText="1"/>
      <protection locked="0"/>
    </xf>
    <xf numFmtId="4" fontId="0" fillId="0" borderId="10" xfId="0" applyNumberFormat="1" applyBorder="1" applyAlignment="1">
      <alignment wrapText="1"/>
    </xf>
    <xf numFmtId="4" fontId="0" fillId="0" borderId="13" xfId="0" applyNumberFormat="1" applyBorder="1" applyAlignment="1">
      <alignment wrapText="1"/>
    </xf>
    <xf numFmtId="10" fontId="0" fillId="0" borderId="10" xfId="0" applyNumberFormat="1" applyBorder="1" applyAlignment="1">
      <alignment horizontal="right" wrapText="1"/>
    </xf>
    <xf numFmtId="10" fontId="0" fillId="0" borderId="13" xfId="0" applyNumberFormat="1" applyBorder="1" applyAlignment="1">
      <alignment horizontal="right" wrapText="1"/>
    </xf>
    <xf numFmtId="0" fontId="0" fillId="0" borderId="9" xfId="0" applyBorder="1" applyAlignment="1">
      <alignment wrapText="1"/>
    </xf>
    <xf numFmtId="4" fontId="0" fillId="12" borderId="10" xfId="0" applyNumberFormat="1" applyFill="1" applyBorder="1" applyAlignment="1" applyProtection="1">
      <alignment wrapText="1"/>
      <protection locked="0"/>
    </xf>
    <xf numFmtId="4" fontId="0" fillId="12" borderId="13" xfId="0" applyNumberFormat="1" applyFill="1" applyBorder="1" applyAlignment="1" applyProtection="1">
      <alignment wrapText="1"/>
      <protection locked="0"/>
    </xf>
    <xf numFmtId="0" fontId="24" fillId="12" borderId="13" xfId="0" applyFont="1" applyFill="1" applyBorder="1" applyAlignment="1" applyProtection="1">
      <alignment horizontal="left"/>
      <protection locked="0"/>
    </xf>
    <xf numFmtId="0" fontId="24" fillId="12" borderId="9" xfId="0" applyFont="1" applyFill="1" applyBorder="1" applyAlignment="1" applyProtection="1">
      <alignment horizontal="left"/>
      <protection locked="0"/>
    </xf>
    <xf numFmtId="4" fontId="24" fillId="3" borderId="10" xfId="0" applyNumberFormat="1" applyFont="1" applyFill="1" applyBorder="1" applyAlignment="1">
      <alignment wrapText="1"/>
    </xf>
    <xf numFmtId="4" fontId="24" fillId="3" borderId="13" xfId="0" applyNumberFormat="1" applyFont="1" applyFill="1" applyBorder="1" applyAlignment="1">
      <alignment wrapText="1"/>
    </xf>
    <xf numFmtId="4" fontId="27" fillId="3" borderId="10" xfId="0" applyNumberFormat="1" applyFont="1" applyFill="1" applyBorder="1" applyAlignment="1">
      <alignment wrapText="1"/>
    </xf>
    <xf numFmtId="4" fontId="27" fillId="3" borderId="13" xfId="0" applyNumberFormat="1" applyFont="1" applyFill="1" applyBorder="1" applyAlignment="1">
      <alignment wrapText="1"/>
    </xf>
    <xf numFmtId="10" fontId="27" fillId="0" borderId="10" xfId="0" applyNumberFormat="1" applyFont="1" applyBorder="1" applyAlignment="1">
      <alignment horizontal="right" wrapText="1"/>
    </xf>
    <xf numFmtId="10" fontId="27" fillId="0" borderId="13" xfId="0" applyNumberFormat="1" applyFont="1" applyBorder="1" applyAlignment="1">
      <alignment horizontal="right" wrapText="1"/>
    </xf>
    <xf numFmtId="0" fontId="27" fillId="0" borderId="9" xfId="0" applyFont="1" applyBorder="1" applyAlignment="1">
      <alignment wrapText="1"/>
    </xf>
    <xf numFmtId="0" fontId="29" fillId="2" borderId="11" xfId="0" applyFont="1" applyFill="1" applyBorder="1"/>
    <xf numFmtId="0" fontId="29" fillId="2" borderId="1" xfId="0" applyFont="1" applyFill="1" applyBorder="1"/>
    <xf numFmtId="0" fontId="29" fillId="2" borderId="13" xfId="0" applyFont="1" applyFill="1" applyBorder="1"/>
    <xf numFmtId="0" fontId="29" fillId="2" borderId="9" xfId="0" applyFont="1" applyFill="1" applyBorder="1"/>
    <xf numFmtId="0" fontId="24" fillId="6" borderId="0" xfId="0" applyFont="1" applyFill="1" applyAlignment="1">
      <alignment horizontal="center"/>
    </xf>
    <xf numFmtId="0" fontId="0" fillId="6" borderId="0" xfId="0" applyFill="1" applyAlignment="1">
      <alignment horizontal="center"/>
    </xf>
    <xf numFmtId="0" fontId="17" fillId="6" borderId="0" xfId="0" applyFont="1" applyFill="1" applyAlignment="1">
      <alignment horizontal="center" vertical="center" wrapText="1"/>
    </xf>
    <xf numFmtId="49" fontId="27" fillId="6" borderId="0" xfId="0" applyNumberFormat="1" applyFont="1" applyFill="1" applyAlignment="1">
      <alignment horizontal="center" vertical="center" wrapText="1"/>
    </xf>
    <xf numFmtId="0" fontId="27" fillId="6" borderId="0" xfId="0" applyFont="1" applyFill="1" applyAlignment="1">
      <alignment horizontal="center" vertical="center" wrapText="1"/>
    </xf>
    <xf numFmtId="14" fontId="27" fillId="0" borderId="13" xfId="0" applyNumberFormat="1" applyFont="1" applyBorder="1" applyAlignment="1">
      <alignment horizontal="left"/>
    </xf>
    <xf numFmtId="0" fontId="27" fillId="0" borderId="13" xfId="0" applyFont="1" applyBorder="1" applyAlignment="1">
      <alignment horizontal="left"/>
    </xf>
    <xf numFmtId="0" fontId="27" fillId="0" borderId="13" xfId="0" applyFont="1" applyBorder="1"/>
    <xf numFmtId="0" fontId="27" fillId="0" borderId="9" xfId="0" applyFont="1" applyBorder="1"/>
    <xf numFmtId="0" fontId="24" fillId="12" borderId="8" xfId="0" applyFont="1" applyFill="1" applyBorder="1" applyAlignment="1" applyProtection="1">
      <alignment horizontal="left"/>
      <protection locked="0"/>
    </xf>
    <xf numFmtId="0" fontId="24" fillId="12" borderId="8" xfId="0" applyFont="1" applyFill="1" applyBorder="1" applyProtection="1">
      <protection locked="0"/>
    </xf>
    <xf numFmtId="49" fontId="27" fillId="12" borderId="10" xfId="0" applyNumberFormat="1" applyFont="1" applyFill="1" applyBorder="1" applyAlignment="1" applyProtection="1">
      <alignment horizontal="left" vertical="center" wrapText="1"/>
      <protection locked="0"/>
    </xf>
    <xf numFmtId="49" fontId="27" fillId="12" borderId="13" xfId="0" applyNumberFormat="1" applyFont="1" applyFill="1" applyBorder="1" applyAlignment="1" applyProtection="1">
      <alignment horizontal="left" vertical="center" wrapText="1"/>
      <protection locked="0"/>
    </xf>
    <xf numFmtId="49" fontId="27" fillId="12" borderId="9" xfId="0" applyNumberFormat="1" applyFont="1" applyFill="1" applyBorder="1" applyAlignment="1" applyProtection="1">
      <alignment horizontal="left" vertical="center" wrapText="1"/>
      <protection locked="0"/>
    </xf>
    <xf numFmtId="14" fontId="24" fillId="12" borderId="13" xfId="0" applyNumberFormat="1" applyFont="1" applyFill="1" applyBorder="1" applyAlignment="1" applyProtection="1">
      <alignment horizontal="left"/>
      <protection locked="0"/>
    </xf>
    <xf numFmtId="0" fontId="24" fillId="12" borderId="13" xfId="0" applyFont="1" applyFill="1" applyBorder="1" applyProtection="1">
      <protection locked="0"/>
    </xf>
    <xf numFmtId="0" fontId="24" fillId="12" borderId="9" xfId="0" applyFont="1" applyFill="1" applyBorder="1" applyProtection="1">
      <protection locked="0"/>
    </xf>
    <xf numFmtId="0" fontId="21" fillId="6" borderId="3" xfId="0" applyFont="1" applyFill="1" applyBorder="1" applyAlignment="1" applyProtection="1">
      <alignment horizontal="left" wrapText="1"/>
      <protection locked="0"/>
    </xf>
    <xf numFmtId="0" fontId="0" fillId="6" borderId="3" xfId="0" applyFill="1" applyBorder="1" applyAlignment="1" applyProtection="1">
      <alignment horizontal="left"/>
      <protection locked="0"/>
    </xf>
    <xf numFmtId="0" fontId="0" fillId="0" borderId="3" xfId="0" applyBorder="1" applyAlignment="1">
      <alignment horizontal="left"/>
    </xf>
    <xf numFmtId="1" fontId="27" fillId="12" borderId="8" xfId="0" applyNumberFormat="1" applyFont="1" applyFill="1" applyBorder="1" applyAlignment="1" applyProtection="1">
      <alignment horizontal="center"/>
      <protection locked="0"/>
    </xf>
    <xf numFmtId="0" fontId="0" fillId="12" borderId="13" xfId="0" applyFill="1" applyBorder="1" applyAlignment="1">
      <alignment wrapText="1"/>
    </xf>
    <xf numFmtId="4" fontId="24" fillId="12" borderId="11" xfId="0" applyNumberFormat="1" applyFont="1" applyFill="1" applyBorder="1" applyProtection="1">
      <protection locked="0"/>
    </xf>
    <xf numFmtId="4" fontId="24" fillId="12" borderId="13" xfId="0" applyNumberFormat="1" applyFont="1" applyFill="1" applyBorder="1" applyProtection="1">
      <protection locked="0"/>
    </xf>
    <xf numFmtId="166" fontId="0" fillId="0" borderId="13" xfId="0" applyNumberFormat="1" applyBorder="1" applyAlignment="1">
      <alignment horizontal="left"/>
    </xf>
    <xf numFmtId="166" fontId="0" fillId="0" borderId="9" xfId="0" applyNumberFormat="1" applyBorder="1" applyAlignment="1">
      <alignment horizontal="left"/>
    </xf>
    <xf numFmtId="0" fontId="24" fillId="3" borderId="13" xfId="0" applyFont="1" applyFill="1" applyBorder="1" applyAlignment="1">
      <alignment horizontal="left"/>
    </xf>
    <xf numFmtId="0" fontId="21" fillId="5" borderId="13" xfId="0" applyFont="1" applyFill="1" applyBorder="1" applyAlignment="1">
      <alignment horizontal="left" vertical="center"/>
    </xf>
    <xf numFmtId="0" fontId="21" fillId="5" borderId="9" xfId="0" applyFont="1" applyFill="1" applyBorder="1" applyAlignment="1">
      <alignment horizontal="left" vertical="center"/>
    </xf>
    <xf numFmtId="3" fontId="24" fillId="3" borderId="10" xfId="0" applyNumberFormat="1" applyFont="1" applyFill="1" applyBorder="1" applyAlignment="1">
      <alignment horizontal="left" wrapText="1"/>
    </xf>
    <xf numFmtId="3" fontId="24" fillId="3" borderId="13" xfId="0" applyNumberFormat="1" applyFont="1" applyFill="1" applyBorder="1" applyAlignment="1">
      <alignment horizontal="left" wrapText="1"/>
    </xf>
    <xf numFmtId="4" fontId="24" fillId="0" borderId="10" xfId="0" applyNumberFormat="1" applyFont="1" applyBorder="1" applyAlignment="1">
      <alignment horizontal="right" vertical="center" wrapText="1"/>
    </xf>
    <xf numFmtId="4" fontId="24" fillId="0" borderId="13" xfId="0" applyNumberFormat="1" applyFont="1" applyBorder="1" applyAlignment="1">
      <alignment horizontal="right" vertical="center" wrapText="1"/>
    </xf>
    <xf numFmtId="4" fontId="0" fillId="12" borderId="10" xfId="0" applyNumberFormat="1" applyFill="1" applyBorder="1" applyAlignment="1">
      <alignment wrapText="1"/>
    </xf>
    <xf numFmtId="4" fontId="0" fillId="12" borderId="13" xfId="0" applyNumberFormat="1" applyFill="1" applyBorder="1" applyAlignment="1">
      <alignment wrapText="1"/>
    </xf>
    <xf numFmtId="4" fontId="24" fillId="0" borderId="10" xfId="0" applyNumberFormat="1" applyFont="1" applyBorder="1" applyAlignment="1">
      <alignment wrapText="1"/>
    </xf>
    <xf numFmtId="4" fontId="24" fillId="0" borderId="13" xfId="0" applyNumberFormat="1" applyFont="1" applyBorder="1" applyAlignment="1">
      <alignment wrapText="1"/>
    </xf>
    <xf numFmtId="3" fontId="32" fillId="0" borderId="10" xfId="0" applyNumberFormat="1" applyFont="1" applyBorder="1" applyAlignment="1">
      <alignment horizontal="left" wrapText="1"/>
    </xf>
    <xf numFmtId="0" fontId="32" fillId="0" borderId="13" xfId="0" applyFont="1" applyBorder="1" applyAlignment="1">
      <alignment horizontal="left" wrapText="1"/>
    </xf>
    <xf numFmtId="0" fontId="24" fillId="12" borderId="10" xfId="0" applyFont="1" applyFill="1" applyBorder="1" applyProtection="1">
      <protection locked="0"/>
    </xf>
    <xf numFmtId="0" fontId="0" fillId="12" borderId="13" xfId="0" applyFill="1" applyBorder="1"/>
    <xf numFmtId="0" fontId="0" fillId="12" borderId="9" xfId="0" applyFill="1" applyBorder="1"/>
    <xf numFmtId="0" fontId="0" fillId="12" borderId="13" xfId="0" applyFill="1" applyBorder="1" applyAlignment="1">
      <alignment horizontal="left" wrapText="1"/>
    </xf>
    <xf numFmtId="0" fontId="0" fillId="12" borderId="9" xfId="0" applyFill="1" applyBorder="1" applyAlignment="1">
      <alignment horizontal="left" wrapText="1"/>
    </xf>
    <xf numFmtId="0" fontId="45"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24" fillId="14" borderId="13" xfId="0" applyFont="1" applyFill="1" applyBorder="1" applyAlignment="1">
      <alignment horizontal="left"/>
    </xf>
    <xf numFmtId="0" fontId="58" fillId="14" borderId="13" xfId="51" applyFill="1" applyBorder="1" applyAlignment="1">
      <alignment horizontal="left"/>
    </xf>
    <xf numFmtId="0" fontId="24" fillId="14" borderId="13" xfId="0" quotePrefix="1" applyFont="1" applyFill="1" applyBorder="1" applyAlignment="1">
      <alignment horizontal="left"/>
    </xf>
    <xf numFmtId="0" fontId="29" fillId="2" borderId="10" xfId="0" applyFont="1" applyFill="1" applyBorder="1"/>
    <xf numFmtId="0" fontId="30" fillId="0" borderId="11" xfId="0" applyFont="1" applyBorder="1" applyAlignment="1">
      <alignment horizontal="left" vertical="center" wrapText="1"/>
    </xf>
    <xf numFmtId="0" fontId="30" fillId="0" borderId="1" xfId="0" applyFont="1" applyBorder="1" applyAlignment="1">
      <alignment horizontal="left" vertical="center" wrapText="1"/>
    </xf>
    <xf numFmtId="0" fontId="30" fillId="0" borderId="12" xfId="0" applyFont="1" applyBorder="1" applyAlignment="1">
      <alignment horizontal="left" vertical="center" wrapText="1"/>
    </xf>
    <xf numFmtId="0" fontId="58" fillId="12" borderId="13" xfId="51" applyFill="1" applyBorder="1" applyAlignment="1" applyProtection="1">
      <alignment horizontal="left"/>
      <protection locked="0"/>
    </xf>
    <xf numFmtId="0" fontId="24" fillId="12" borderId="13" xfId="0" quotePrefix="1" applyFont="1" applyFill="1" applyBorder="1" applyAlignment="1" applyProtection="1">
      <alignment horizontal="left"/>
      <protection locked="0"/>
    </xf>
    <xf numFmtId="0" fontId="24" fillId="12" borderId="1" xfId="0" applyFont="1" applyFill="1" applyBorder="1" applyProtection="1">
      <protection locked="0"/>
    </xf>
    <xf numFmtId="0" fontId="0" fillId="12" borderId="1" xfId="0" applyFill="1" applyBorder="1" applyProtection="1">
      <protection locked="0"/>
    </xf>
    <xf numFmtId="0" fontId="0" fillId="12" borderId="12" xfId="0" applyFill="1" applyBorder="1" applyProtection="1">
      <protection locked="0"/>
    </xf>
    <xf numFmtId="0" fontId="24" fillId="0" borderId="10" xfId="0" applyFont="1" applyBorder="1" applyAlignment="1" applyProtection="1">
      <alignment horizontal="left" wrapText="1"/>
      <protection locked="0"/>
    </xf>
    <xf numFmtId="0" fontId="24" fillId="0" borderId="13" xfId="0" applyFont="1" applyBorder="1" applyAlignment="1" applyProtection="1">
      <alignment horizontal="left" wrapText="1"/>
      <protection locked="0"/>
    </xf>
    <xf numFmtId="0" fontId="24" fillId="0" borderId="9" xfId="0" applyFont="1" applyBorder="1" applyAlignment="1" applyProtection="1">
      <alignment horizontal="left" wrapText="1"/>
      <protection locked="0"/>
    </xf>
    <xf numFmtId="0" fontId="24" fillId="0" borderId="11" xfId="0" applyFont="1" applyBorder="1"/>
    <xf numFmtId="0" fontId="24" fillId="0" borderId="1" xfId="0" applyFont="1" applyBorder="1"/>
    <xf numFmtId="0" fontId="24" fillId="0" borderId="12" xfId="0" applyFont="1" applyBorder="1"/>
    <xf numFmtId="0" fontId="24" fillId="12" borderId="1" xfId="0" applyFont="1" applyFill="1" applyBorder="1"/>
    <xf numFmtId="0" fontId="0" fillId="12" borderId="1" xfId="0" applyFill="1" applyBorder="1"/>
    <xf numFmtId="0" fontId="0" fillId="12" borderId="12" xfId="0" applyFill="1" applyBorder="1"/>
    <xf numFmtId="0" fontId="34" fillId="0" borderId="4" xfId="0" applyFont="1" applyBorder="1" applyAlignment="1">
      <alignment horizontal="left" vertical="center" wrapText="1"/>
    </xf>
    <xf numFmtId="0" fontId="34" fillId="0" borderId="0" xfId="0" applyFont="1" applyAlignment="1">
      <alignment horizontal="left" vertical="center" wrapText="1"/>
    </xf>
    <xf numFmtId="0" fontId="34" fillId="0" borderId="6" xfId="0" applyFont="1" applyBorder="1" applyAlignment="1">
      <alignment horizontal="left" vertical="center" wrapText="1"/>
    </xf>
    <xf numFmtId="0" fontId="30" fillId="3" borderId="10" xfId="0" applyFont="1" applyFill="1" applyBorder="1"/>
    <xf numFmtId="0" fontId="30" fillId="3" borderId="13" xfId="0" applyFont="1" applyFill="1" applyBorder="1"/>
    <xf numFmtId="0" fontId="30" fillId="3" borderId="9" xfId="0" applyFont="1" applyFill="1" applyBorder="1"/>
    <xf numFmtId="0" fontId="27" fillId="5" borderId="2" xfId="37" applyFont="1" applyFill="1" applyBorder="1" applyAlignment="1" applyProtection="1">
      <alignment horizontal="left" vertical="top" wrapText="1"/>
      <protection locked="0"/>
    </xf>
    <xf numFmtId="0" fontId="0" fillId="5" borderId="3"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49" fontId="63" fillId="0" borderId="8" xfId="37" applyNumberFormat="1" applyFont="1" applyBorder="1" applyAlignment="1" applyProtection="1">
      <alignment horizontal="left" vertical="top" wrapText="1"/>
      <protection locked="0"/>
    </xf>
    <xf numFmtId="49" fontId="62" fillId="0" borderId="8" xfId="0" applyNumberFormat="1" applyFont="1" applyBorder="1" applyAlignment="1" applyProtection="1">
      <alignment horizontal="left" vertical="top" wrapText="1"/>
      <protection locked="0"/>
    </xf>
    <xf numFmtId="49" fontId="62" fillId="0" borderId="8" xfId="0" applyNumberFormat="1" applyFont="1" applyBorder="1" applyAlignment="1" applyProtection="1">
      <alignment horizontal="left" vertical="top"/>
      <protection locked="0"/>
    </xf>
    <xf numFmtId="49" fontId="67" fillId="0" borderId="8" xfId="37" applyNumberFormat="1" applyFont="1" applyBorder="1" applyAlignment="1" applyProtection="1">
      <alignment horizontal="left" vertical="top" wrapText="1"/>
      <protection locked="0"/>
    </xf>
    <xf numFmtId="0" fontId="35" fillId="5" borderId="4" xfId="37" applyFont="1" applyFill="1" applyBorder="1" applyAlignment="1" applyProtection="1">
      <alignment horizontal="left" vertical="top" wrapText="1"/>
      <protection locked="0"/>
    </xf>
    <xf numFmtId="0" fontId="33" fillId="5" borderId="0" xfId="0" applyFont="1" applyFill="1" applyAlignment="1" applyProtection="1">
      <alignment horizontal="left" vertical="top" wrapText="1"/>
      <protection locked="0"/>
    </xf>
    <xf numFmtId="0" fontId="33" fillId="5" borderId="6" xfId="0" applyFont="1" applyFill="1" applyBorder="1" applyAlignment="1" applyProtection="1">
      <alignment horizontal="left" vertical="top" wrapText="1"/>
      <protection locked="0"/>
    </xf>
    <xf numFmtId="0" fontId="24" fillId="5" borderId="3" xfId="0" applyFont="1" applyFill="1" applyBorder="1" applyAlignment="1" applyProtection="1">
      <alignment horizontal="left" wrapText="1"/>
      <protection locked="0"/>
    </xf>
    <xf numFmtId="0" fontId="0" fillId="5" borderId="3" xfId="0" applyFill="1" applyBorder="1" applyAlignment="1" applyProtection="1">
      <alignment horizontal="left" wrapText="1"/>
      <protection locked="0"/>
    </xf>
    <xf numFmtId="0" fontId="0" fillId="5" borderId="5" xfId="0" applyFill="1" applyBorder="1" applyAlignment="1" applyProtection="1">
      <alignment horizontal="left" wrapText="1"/>
      <protection locked="0"/>
    </xf>
    <xf numFmtId="49" fontId="62" fillId="0" borderId="11" xfId="37" applyNumberFormat="1" applyFont="1" applyBorder="1" applyAlignment="1" applyProtection="1">
      <alignment horizontal="left" vertical="top" wrapText="1"/>
      <protection locked="0"/>
    </xf>
    <xf numFmtId="49" fontId="8" fillId="0" borderId="1" xfId="0" applyNumberFormat="1" applyFont="1" applyBorder="1" applyAlignment="1" applyProtection="1">
      <alignment horizontal="left" vertical="top" wrapText="1"/>
      <protection locked="0"/>
    </xf>
    <xf numFmtId="49" fontId="8" fillId="0" borderId="12" xfId="0" applyNumberFormat="1" applyFont="1" applyBorder="1" applyAlignment="1" applyProtection="1">
      <alignment horizontal="left" vertical="top"/>
      <protection locked="0"/>
    </xf>
    <xf numFmtId="49" fontId="62" fillId="0" borderId="8" xfId="37" applyNumberFormat="1" applyFont="1" applyBorder="1" applyAlignment="1" applyProtection="1">
      <alignment horizontal="left" vertical="top" wrapText="1"/>
      <protection locked="0"/>
    </xf>
    <xf numFmtId="49" fontId="8" fillId="0" borderId="8" xfId="0" applyNumberFormat="1" applyFont="1" applyBorder="1" applyAlignment="1" applyProtection="1">
      <alignment horizontal="left" vertical="top" wrapText="1"/>
      <protection locked="0"/>
    </xf>
    <xf numFmtId="49" fontId="8" fillId="0" borderId="8" xfId="0" applyNumberFormat="1" applyFont="1" applyBorder="1" applyAlignment="1" applyProtection="1">
      <alignment horizontal="left" vertical="top"/>
      <protection locked="0"/>
    </xf>
    <xf numFmtId="49" fontId="67" fillId="0" borderId="11" xfId="37" applyNumberFormat="1" applyFont="1" applyBorder="1" applyAlignment="1" applyProtection="1">
      <alignment horizontal="left" vertical="top" wrapText="1"/>
      <protection locked="0"/>
    </xf>
    <xf numFmtId="49" fontId="8" fillId="0" borderId="1" xfId="37" applyNumberFormat="1" applyBorder="1" applyAlignment="1" applyProtection="1">
      <alignment horizontal="left" vertical="top" wrapText="1"/>
      <protection locked="0"/>
    </xf>
    <xf numFmtId="49" fontId="8" fillId="0" borderId="12" xfId="37" applyNumberFormat="1" applyBorder="1" applyAlignment="1" applyProtection="1">
      <alignment horizontal="left" vertical="top" wrapText="1"/>
      <protection locked="0"/>
    </xf>
    <xf numFmtId="0" fontId="64" fillId="5" borderId="4" xfId="37" applyFont="1" applyFill="1" applyBorder="1" applyAlignment="1" applyProtection="1">
      <alignment horizontal="left" vertical="top" wrapText="1"/>
      <protection locked="0"/>
    </xf>
    <xf numFmtId="0" fontId="65" fillId="5" borderId="0" xfId="0" applyFont="1" applyFill="1" applyAlignment="1" applyProtection="1">
      <alignment horizontal="left" vertical="top" wrapText="1"/>
      <protection locked="0"/>
    </xf>
    <xf numFmtId="0" fontId="65" fillId="5" borderId="6" xfId="0" applyFont="1" applyFill="1" applyBorder="1" applyAlignment="1" applyProtection="1">
      <alignment horizontal="left" vertical="top" wrapText="1"/>
      <protection locked="0"/>
    </xf>
    <xf numFmtId="0" fontId="10" fillId="5" borderId="2" xfId="37" applyFont="1" applyFill="1" applyBorder="1" applyAlignment="1" applyProtection="1">
      <alignment horizontal="left" vertical="top" wrapText="1"/>
      <protection locked="0"/>
    </xf>
    <xf numFmtId="0" fontId="8" fillId="5" borderId="3" xfId="0" applyFont="1" applyFill="1" applyBorder="1" applyAlignment="1" applyProtection="1">
      <alignment horizontal="left" wrapText="1"/>
      <protection locked="0"/>
    </xf>
    <xf numFmtId="0" fontId="8" fillId="5" borderId="5" xfId="0" applyFont="1" applyFill="1" applyBorder="1" applyAlignment="1" applyProtection="1">
      <alignment horizontal="left" wrapText="1"/>
      <protection locked="0"/>
    </xf>
    <xf numFmtId="0" fontId="62" fillId="0" borderId="8" xfId="0" applyFont="1" applyBorder="1" applyAlignment="1">
      <alignment vertical="top" wrapText="1"/>
    </xf>
    <xf numFmtId="0" fontId="63" fillId="0" borderId="8" xfId="0" applyFont="1" applyBorder="1" applyAlignment="1">
      <alignment horizontal="left" vertical="top" wrapText="1"/>
    </xf>
    <xf numFmtId="0" fontId="67" fillId="0" borderId="8" xfId="0" applyFont="1" applyBorder="1" applyAlignment="1">
      <alignment horizontal="left" vertical="top" wrapText="1"/>
    </xf>
    <xf numFmtId="49" fontId="8" fillId="0" borderId="8" xfId="37" applyNumberFormat="1" applyBorder="1" applyAlignment="1" applyProtection="1">
      <alignment horizontal="left" vertical="top" wrapText="1"/>
      <protection locked="0"/>
    </xf>
    <xf numFmtId="0" fontId="62" fillId="0" borderId="8" xfId="0" applyFont="1" applyBorder="1" applyAlignment="1">
      <alignment horizontal="left" vertical="top" wrapText="1"/>
    </xf>
    <xf numFmtId="0" fontId="67" fillId="0" borderId="0" xfId="0" applyFont="1" applyAlignment="1">
      <alignment horizontal="left" vertical="top" wrapText="1"/>
    </xf>
    <xf numFmtId="49" fontId="8" fillId="0" borderId="0" xfId="37" applyNumberFormat="1" applyAlignment="1" applyProtection="1">
      <alignment horizontal="left" vertical="top" wrapText="1"/>
      <protection locked="0"/>
    </xf>
    <xf numFmtId="49" fontId="8" fillId="0" borderId="6" xfId="37" applyNumberFormat="1" applyBorder="1" applyAlignment="1" applyProtection="1">
      <alignment horizontal="left" vertical="top" wrapText="1"/>
      <protection locked="0"/>
    </xf>
    <xf numFmtId="0" fontId="10" fillId="5" borderId="4" xfId="37" applyFont="1" applyFill="1" applyBorder="1" applyAlignment="1" applyProtection="1">
      <alignment horizontal="left" vertical="top" wrapText="1"/>
      <protection locked="0"/>
    </xf>
    <xf numFmtId="0" fontId="8" fillId="5" borderId="0" xfId="0" applyFont="1" applyFill="1" applyAlignment="1" applyProtection="1">
      <alignment horizontal="left" wrapText="1"/>
      <protection locked="0"/>
    </xf>
    <xf numFmtId="0" fontId="8" fillId="5" borderId="6" xfId="0" applyFont="1" applyFill="1" applyBorder="1" applyAlignment="1" applyProtection="1">
      <alignment horizontal="left" wrapText="1"/>
      <protection locked="0"/>
    </xf>
    <xf numFmtId="49" fontId="66" fillId="0" borderId="8" xfId="37" applyNumberFormat="1" applyFont="1" applyBorder="1" applyAlignment="1" applyProtection="1">
      <alignment horizontal="left" vertical="top" wrapText="1"/>
      <protection locked="0"/>
    </xf>
    <xf numFmtId="0" fontId="8" fillId="5" borderId="3" xfId="0" applyFont="1" applyFill="1" applyBorder="1" applyAlignment="1" applyProtection="1">
      <alignment horizontal="left" vertical="top" wrapText="1"/>
      <protection locked="0"/>
    </xf>
    <xf numFmtId="0" fontId="8" fillId="5" borderId="5" xfId="0" applyFont="1" applyFill="1" applyBorder="1" applyAlignment="1" applyProtection="1">
      <alignment horizontal="left" vertical="top" wrapText="1"/>
      <protection locked="0"/>
    </xf>
    <xf numFmtId="0" fontId="24" fillId="6" borderId="0" xfId="0" applyFont="1" applyFill="1" applyAlignment="1">
      <alignment horizontal="center" vertical="center"/>
    </xf>
    <xf numFmtId="0" fontId="0" fillId="6" borderId="0" xfId="0" applyFill="1" applyAlignment="1">
      <alignment horizontal="center" vertical="center"/>
    </xf>
    <xf numFmtId="0" fontId="32" fillId="6" borderId="0" xfId="0" applyFont="1" applyFill="1" applyAlignment="1">
      <alignment horizontal="center" vertical="center" wrapText="1"/>
    </xf>
    <xf numFmtId="49" fontId="17" fillId="6" borderId="0" xfId="0" applyNumberFormat="1" applyFont="1" applyFill="1" applyAlignment="1">
      <alignment horizontal="center" vertical="center" wrapText="1"/>
    </xf>
    <xf numFmtId="0" fontId="10" fillId="5" borderId="10" xfId="37" applyFont="1" applyFill="1" applyBorder="1" applyAlignment="1" applyProtection="1">
      <alignment horizontal="left" vertical="top" wrapText="1"/>
      <protection locked="0"/>
    </xf>
    <xf numFmtId="0" fontId="8" fillId="5" borderId="13" xfId="0" applyFont="1" applyFill="1" applyBorder="1" applyAlignment="1" applyProtection="1">
      <alignment horizontal="left" vertical="top" wrapText="1"/>
      <protection locked="0"/>
    </xf>
    <xf numFmtId="0" fontId="8" fillId="5" borderId="9" xfId="0" applyFont="1" applyFill="1" applyBorder="1" applyAlignment="1" applyProtection="1">
      <alignment horizontal="left" vertical="top" wrapText="1"/>
      <protection locked="0"/>
    </xf>
    <xf numFmtId="49" fontId="8" fillId="0" borderId="10" xfId="37" applyNumberFormat="1" applyBorder="1" applyAlignment="1" applyProtection="1">
      <alignment horizontal="left" vertical="top" wrapText="1"/>
      <protection locked="0"/>
    </xf>
    <xf numFmtId="49" fontId="8" fillId="0" borderId="13" xfId="0" applyNumberFormat="1" applyFont="1" applyBorder="1" applyAlignment="1" applyProtection="1">
      <alignment horizontal="left" vertical="top" wrapText="1"/>
      <protection locked="0"/>
    </xf>
    <xf numFmtId="49" fontId="8" fillId="0" borderId="9" xfId="0" applyNumberFormat="1" applyFont="1" applyBorder="1" applyAlignment="1" applyProtection="1">
      <alignment horizontal="left" vertical="top"/>
      <protection locked="0"/>
    </xf>
    <xf numFmtId="0" fontId="35" fillId="5" borderId="11" xfId="37" applyFont="1" applyFill="1" applyBorder="1" applyAlignment="1" applyProtection="1">
      <alignment horizontal="left" vertical="top" wrapText="1"/>
      <protection locked="0"/>
    </xf>
    <xf numFmtId="0" fontId="33" fillId="5" borderId="1" xfId="0" applyFont="1" applyFill="1" applyBorder="1" applyAlignment="1" applyProtection="1">
      <alignment horizontal="left" vertical="top" wrapText="1"/>
      <protection locked="0"/>
    </xf>
    <xf numFmtId="0" fontId="33" fillId="5" borderId="12" xfId="0" applyFont="1" applyFill="1" applyBorder="1" applyAlignment="1" applyProtection="1">
      <alignment horizontal="left" vertical="top" wrapText="1"/>
      <protection locked="0"/>
    </xf>
    <xf numFmtId="49" fontId="10" fillId="0" borderId="10" xfId="37" applyNumberFormat="1" applyFont="1" applyBorder="1" applyAlignment="1" applyProtection="1">
      <alignment horizontal="left" vertical="top" wrapText="1"/>
      <protection locked="0"/>
    </xf>
    <xf numFmtId="49" fontId="63" fillId="0" borderId="11" xfId="37" applyNumberFormat="1" applyFont="1" applyBorder="1" applyAlignment="1" applyProtection="1">
      <alignment horizontal="left" vertical="top" wrapText="1"/>
      <protection locked="0"/>
    </xf>
    <xf numFmtId="4" fontId="25" fillId="11" borderId="11" xfId="0" applyNumberFormat="1" applyFont="1" applyFill="1" applyBorder="1" applyAlignment="1">
      <alignment horizontal="left" vertical="center" wrapText="1"/>
    </xf>
    <xf numFmtId="0" fontId="0" fillId="11" borderId="2" xfId="0" applyFill="1" applyBorder="1" applyAlignment="1">
      <alignment horizontal="left" wrapText="1"/>
    </xf>
    <xf numFmtId="4" fontId="25" fillId="11" borderId="14" xfId="0" applyNumberFormat="1" applyFont="1" applyFill="1" applyBorder="1" applyAlignment="1">
      <alignment horizontal="left" vertical="center" wrapText="1"/>
    </xf>
    <xf numFmtId="0" fontId="0" fillId="11" borderId="7" xfId="0" applyFill="1" applyBorder="1" applyAlignment="1">
      <alignment horizontal="left" wrapText="1"/>
    </xf>
    <xf numFmtId="4" fontId="25" fillId="10" borderId="11" xfId="0" applyNumberFormat="1" applyFont="1" applyFill="1" applyBorder="1" applyAlignment="1">
      <alignment horizontal="left" vertical="center" wrapText="1"/>
    </xf>
    <xf numFmtId="0" fontId="0" fillId="10" borderId="2" xfId="0" applyFill="1" applyBorder="1" applyAlignment="1">
      <alignment horizontal="left" wrapText="1"/>
    </xf>
    <xf numFmtId="0" fontId="32" fillId="6" borderId="0" xfId="0" applyFont="1" applyFill="1" applyAlignment="1">
      <alignment horizontal="center" vertical="center"/>
    </xf>
    <xf numFmtId="4" fontId="25" fillId="5" borderId="11" xfId="0" applyNumberFormat="1" applyFont="1" applyFill="1" applyBorder="1" applyAlignment="1">
      <alignment horizontal="left" vertical="center" wrapText="1"/>
    </xf>
    <xf numFmtId="0" fontId="0" fillId="5" borderId="12" xfId="0" applyFill="1" applyBorder="1" applyAlignment="1">
      <alignment horizontal="left" vertical="center" wrapText="1"/>
    </xf>
    <xf numFmtId="0" fontId="31" fillId="5" borderId="3" xfId="0" applyFont="1" applyFill="1" applyBorder="1" applyAlignment="1">
      <alignment horizontal="center"/>
    </xf>
    <xf numFmtId="0" fontId="26" fillId="0" borderId="0" xfId="0" applyFont="1" applyProtection="1">
      <protection locked="0"/>
    </xf>
    <xf numFmtId="0" fontId="0" fillId="6" borderId="0" xfId="0" applyFill="1"/>
    <xf numFmtId="0" fontId="27" fillId="6" borderId="0" xfId="0" applyFont="1" applyFill="1" applyAlignment="1">
      <alignment horizontal="right" wrapText="1"/>
    </xf>
    <xf numFmtId="0" fontId="0" fillId="0" borderId="3" xfId="0" applyBorder="1"/>
  </cellXfs>
  <cellStyles count="57">
    <cellStyle name="Hüperlink" xfId="51" builtinId="8"/>
    <cellStyle name="Külastatud hüperlink" xfId="23" builtinId="9" hidden="1"/>
    <cellStyle name="Külastatud hüperlink" xfId="20" builtinId="9" hidden="1"/>
    <cellStyle name="Külastatud hüperlink" xfId="9" builtinId="9" hidden="1"/>
    <cellStyle name="Külastatud hüperlink" xfId="21" builtinId="9" hidden="1"/>
    <cellStyle name="Külastatud hüperlink" xfId="8" builtinId="9" hidden="1"/>
    <cellStyle name="Külastatud hüperlink" xfId="25" builtinId="9" hidden="1"/>
    <cellStyle name="Külastatud hüperlink" xfId="16" builtinId="9" hidden="1"/>
    <cellStyle name="Külastatud hüperlink" xfId="6" builtinId="9" hidden="1"/>
    <cellStyle name="Külastatud hüperlink" xfId="18" builtinId="9" hidden="1"/>
    <cellStyle name="Külastatud hüperlink" xfId="27" builtinId="9" hidden="1"/>
    <cellStyle name="Külastatud hüperlink" xfId="34" builtinId="9" hidden="1"/>
    <cellStyle name="Külastatud hüperlink" xfId="7" builtinId="9" hidden="1"/>
    <cellStyle name="Külastatud hüperlink" xfId="17" builtinId="9" hidden="1"/>
    <cellStyle name="Külastatud hüperlink" xfId="13" builtinId="9" hidden="1"/>
    <cellStyle name="Külastatud hüperlink" xfId="22" builtinId="9" hidden="1"/>
    <cellStyle name="Külastatud hüperlink" xfId="26" builtinId="9" hidden="1"/>
    <cellStyle name="Külastatud hüperlink" xfId="32" builtinId="9" hidden="1"/>
    <cellStyle name="Külastatud hüperlink" xfId="14" builtinId="9" hidden="1"/>
    <cellStyle name="Külastatud hüperlink" xfId="12" builtinId="9" hidden="1"/>
    <cellStyle name="Külastatud hüperlink" xfId="30" builtinId="9" hidden="1"/>
    <cellStyle name="Külastatud hüperlink" xfId="33" builtinId="9" hidden="1"/>
    <cellStyle name="Külastatud hüperlink" xfId="15" builtinId="9" hidden="1"/>
    <cellStyle name="Külastatud hüperlink" xfId="11" builtinId="9" hidden="1"/>
    <cellStyle name="Külastatud hüperlink" xfId="19" builtinId="9" hidden="1"/>
    <cellStyle name="Külastatud hüperlink" xfId="28" builtinId="9" hidden="1"/>
    <cellStyle name="Külastatud hüperlink" xfId="10" builtinId="9" hidden="1"/>
    <cellStyle name="Külastatud hüperlink" xfId="24" builtinId="9" hidden="1"/>
    <cellStyle name="Külastatud hüperlink" xfId="29" builtinId="9" hidden="1"/>
    <cellStyle name="Külastatud hüperlink" xfId="31" builtinId="9" hidden="1"/>
    <cellStyle name="Normaallaad" xfId="0" builtinId="0"/>
    <cellStyle name="Normaallaad 2" xfId="1" xr:uid="{00000000-0005-0000-0000-00001E000000}"/>
    <cellStyle name="Normaallaad 2 2" xfId="36" xr:uid="{00000000-0005-0000-0000-00001F000000}"/>
    <cellStyle name="Normaallaad 3" xfId="2" xr:uid="{00000000-0005-0000-0000-000020000000}"/>
    <cellStyle name="Normaallaad 3 2" xfId="45" xr:uid="{E678592D-6A06-49C8-8A9E-D233C66DF823}"/>
    <cellStyle name="Normaallaad 3 3" xfId="52" xr:uid="{FAF448FC-3D77-41F0-98B2-E0054F1C80B1}"/>
    <cellStyle name="Normaallaad 4" xfId="35" xr:uid="{00000000-0005-0000-0000-000021000000}"/>
    <cellStyle name="Normaallaad 5" xfId="38" xr:uid="{00000000-0005-0000-0000-000022000000}"/>
    <cellStyle name="Normaallaad 5 2" xfId="47" xr:uid="{163DA05C-03B8-4E68-A55B-B448096B0ABC}"/>
    <cellStyle name="Normaallaad 5 3" xfId="53" xr:uid="{FBF44096-E070-48AA-9389-E0BC837B5E60}"/>
    <cellStyle name="Normaallaad 6" xfId="39" xr:uid="{00000000-0005-0000-0000-000023000000}"/>
    <cellStyle name="Normaallaad 6 2" xfId="48" xr:uid="{A148D0F9-FF52-4D78-88FB-06F6E3C8A184}"/>
    <cellStyle name="Normaallaad 6 3" xfId="54" xr:uid="{95F7B927-7ABB-44A2-A791-39C9BF246732}"/>
    <cellStyle name="Normaallaad 7" xfId="41" xr:uid="{00000000-0005-0000-0000-000024000000}"/>
    <cellStyle name="Normaallaad 7 2" xfId="50" xr:uid="{B22E4FF2-7D15-46DD-B570-85CE2C5916C8}"/>
    <cellStyle name="Normaallaad 7 3" xfId="56" xr:uid="{04B6CE62-17BA-4C62-B906-9C417381F66A}"/>
    <cellStyle name="Normal 2" xfId="3" xr:uid="{00000000-0005-0000-0000-000026000000}"/>
    <cellStyle name="Normal 2 2" xfId="37" xr:uid="{00000000-0005-0000-0000-000027000000}"/>
    <cellStyle name="Normal 7 2" xfId="43" xr:uid="{00000000-0005-0000-0000-000028000000}"/>
    <cellStyle name="Protsent" xfId="4" builtinId="5"/>
    <cellStyle name="Protsent 2" xfId="5" xr:uid="{00000000-0005-0000-0000-00002A000000}"/>
    <cellStyle name="Protsent 2 2" xfId="46" xr:uid="{417A1428-0941-4F57-9EAC-0291D67D9B36}"/>
    <cellStyle name="Protsent 3" xfId="40" xr:uid="{00000000-0005-0000-0000-00002B000000}"/>
    <cellStyle name="Protsent 3 2" xfId="49" xr:uid="{1810EBDB-F5CC-45EB-A215-170E6257AF57}"/>
    <cellStyle name="Protsent 3 3" xfId="55" xr:uid="{44E337E4-FDBB-4065-8523-448A30126986}"/>
    <cellStyle name="Selgitav tekst" xfId="44" builtinId="53"/>
    <cellStyle name="Standard 2" xfId="42" xr:uid="{00000000-0005-0000-0000-00002C000000}"/>
  </cellStyles>
  <dxfs count="4">
    <dxf>
      <font>
        <color rgb="FFFF0000"/>
      </font>
    </dxf>
    <dxf>
      <font>
        <color rgb="FFFF0000"/>
      </font>
    </dxf>
    <dxf>
      <font>
        <color theme="1"/>
      </font>
    </dxf>
    <dxf>
      <font>
        <color rgb="FFFF0000"/>
      </font>
    </dxf>
  </dxfs>
  <tableStyles count="0" defaultTableStyle="TableStyleMedium9" defaultPivotStyle="PivotStyleLight16"/>
  <colors>
    <mruColors>
      <color rgb="FFF2F8EE"/>
      <color rgb="FFFBFDF9"/>
      <color rgb="FFE2EFDA"/>
      <color rgb="FFFCFECE"/>
      <color rgb="FFFF9999"/>
      <color rgb="FFFFD54F"/>
      <color rgb="FF33CC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nika.otsing@rtk.ee" TargetMode="External"/><Relationship Id="rId1" Type="http://schemas.openxmlformats.org/officeDocument/2006/relationships/hyperlink" Target="mailto:olga.gnezdovski@kul.e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P77"/>
  <sheetViews>
    <sheetView showGridLines="0" tabSelected="1" showRuler="0" topLeftCell="A28" zoomScaleNormal="100" workbookViewId="0">
      <selection activeCell="A25" sqref="A25"/>
    </sheetView>
  </sheetViews>
  <sheetFormatPr defaultColWidth="7.5703125" defaultRowHeight="12.75"/>
  <cols>
    <col min="1" max="1" width="45.85546875" customWidth="1"/>
    <col min="2" max="2" width="10.140625" style="11" customWidth="1"/>
    <col min="3" max="3" width="10.42578125" style="11" customWidth="1"/>
    <col min="4" max="4" width="7.5703125" style="11" customWidth="1"/>
    <col min="5" max="5" width="7.42578125" style="13" customWidth="1"/>
    <col min="6" max="7" width="7.5703125" style="14" customWidth="1"/>
    <col min="8" max="8" width="0.5703125" style="8" customWidth="1"/>
    <col min="9" max="9" width="12.42578125" style="8" customWidth="1"/>
    <col min="10" max="10" width="11.42578125" style="8" customWidth="1"/>
  </cols>
  <sheetData>
    <row r="1" spans="1:16">
      <c r="A1" s="318" t="s">
        <v>0</v>
      </c>
      <c r="B1" s="319"/>
      <c r="C1" s="319"/>
      <c r="D1" s="319"/>
      <c r="E1" s="319"/>
      <c r="F1" s="319"/>
      <c r="G1" s="319"/>
      <c r="H1" s="319"/>
      <c r="I1" s="319"/>
    </row>
    <row r="2" spans="1:16" ht="39" customHeight="1">
      <c r="A2" s="320" t="str">
        <f>CONCATENATE("Reimbursement Request ","No. ",B11)</f>
        <v>Reimbursement Request No. 3</v>
      </c>
      <c r="B2" s="320"/>
      <c r="C2" s="320"/>
      <c r="D2" s="320"/>
      <c r="E2" s="320"/>
      <c r="F2" s="320"/>
      <c r="G2" s="320"/>
      <c r="H2" s="320"/>
      <c r="I2" s="320"/>
    </row>
    <row r="3" spans="1:16" ht="18.75" customHeight="1">
      <c r="A3" s="321" t="str">
        <f>B6</f>
        <v>Supporting Social Inclusion</v>
      </c>
      <c r="B3" s="322"/>
      <c r="C3" s="322"/>
      <c r="D3" s="322"/>
      <c r="E3" s="322"/>
      <c r="F3" s="322"/>
      <c r="G3" s="322"/>
      <c r="H3" s="322"/>
      <c r="I3" s="322"/>
    </row>
    <row r="4" spans="1:16" ht="21" customHeight="1">
      <c r="A4" s="188" t="s">
        <v>1</v>
      </c>
      <c r="B4" s="37"/>
      <c r="C4" s="37"/>
      <c r="D4" s="37"/>
      <c r="E4" s="37"/>
      <c r="F4" s="335" t="s">
        <v>2</v>
      </c>
      <c r="G4" s="336"/>
      <c r="H4" s="337"/>
      <c r="I4" s="337"/>
    </row>
    <row r="5" spans="1:16" ht="22.7" customHeight="1">
      <c r="A5" s="292" t="s">
        <v>3</v>
      </c>
      <c r="B5" s="293"/>
      <c r="C5" s="293"/>
      <c r="D5" s="293"/>
      <c r="E5" s="293"/>
      <c r="F5" s="293"/>
      <c r="G5" s="293"/>
      <c r="H5" s="293"/>
      <c r="I5" s="294"/>
    </row>
    <row r="6" spans="1:16" ht="29.1" customHeight="1">
      <c r="A6" s="82" t="s">
        <v>4</v>
      </c>
      <c r="B6" s="329" t="s">
        <v>5</v>
      </c>
      <c r="C6" s="330"/>
      <c r="D6" s="330"/>
      <c r="E6" s="330"/>
      <c r="F6" s="330"/>
      <c r="G6" s="330"/>
      <c r="H6" s="330"/>
      <c r="I6" s="331"/>
    </row>
    <row r="7" spans="1:16" ht="14.25" customHeight="1">
      <c r="A7" s="83" t="s">
        <v>6</v>
      </c>
      <c r="B7" s="327" t="s">
        <v>7</v>
      </c>
      <c r="C7" s="327"/>
      <c r="D7" s="327"/>
      <c r="E7" s="327"/>
      <c r="F7" s="327" t="s">
        <v>8</v>
      </c>
      <c r="G7" s="327"/>
      <c r="H7" s="327"/>
      <c r="I7" s="327"/>
    </row>
    <row r="8" spans="1:16" s="9" customFormat="1" ht="14.25" customHeight="1">
      <c r="A8" s="84" t="s">
        <v>9</v>
      </c>
      <c r="B8" s="81" t="s">
        <v>10</v>
      </c>
      <c r="C8" s="332">
        <v>45444</v>
      </c>
      <c r="D8" s="305"/>
      <c r="E8" s="78" t="s">
        <v>11</v>
      </c>
      <c r="F8" s="332">
        <v>46996</v>
      </c>
      <c r="G8" s="305"/>
      <c r="H8" s="333"/>
      <c r="I8" s="334"/>
      <c r="J8" s="33"/>
    </row>
    <row r="9" spans="1:16" ht="14.25" customHeight="1">
      <c r="A9" s="85" t="s">
        <v>12</v>
      </c>
      <c r="B9" s="328" t="s">
        <v>13</v>
      </c>
      <c r="C9" s="328"/>
      <c r="D9" s="328"/>
      <c r="E9" s="328"/>
      <c r="F9" s="328"/>
      <c r="G9" s="328"/>
      <c r="H9" s="328"/>
      <c r="I9" s="328"/>
    </row>
    <row r="10" spans="1:16" s="12" customFormat="1" ht="14.25" customHeight="1">
      <c r="A10" s="86" t="s">
        <v>14</v>
      </c>
      <c r="B10" s="80" t="s">
        <v>10</v>
      </c>
      <c r="C10" s="323">
        <f>_xlfn.XLOOKUP(CONCATENATE(B11,"c"),'Financial Progress'!A5:CP5,'Financial Progress'!A6:CP6)</f>
        <v>46023</v>
      </c>
      <c r="D10" s="324"/>
      <c r="E10" s="79" t="s">
        <v>11</v>
      </c>
      <c r="F10" s="323">
        <f>_xlfn.XLOOKUP(CONCATENATE(B11,"d"),'Financial Progress'!A5:CP5,'Financial Progress'!A6:CP6)</f>
        <v>46203</v>
      </c>
      <c r="G10" s="324"/>
      <c r="H10" s="325"/>
      <c r="I10" s="326"/>
    </row>
    <row r="11" spans="1:16" ht="14.25" customHeight="1">
      <c r="A11" s="117" t="s">
        <v>15</v>
      </c>
      <c r="B11" s="338">
        <v>3</v>
      </c>
      <c r="C11" s="338"/>
      <c r="D11" s="338"/>
      <c r="E11" s="338"/>
      <c r="F11" s="338"/>
      <c r="G11" s="338"/>
      <c r="H11" s="338"/>
      <c r="I11" s="338"/>
    </row>
    <row r="12" spans="1:16" ht="15" customHeight="1">
      <c r="A12" s="83" t="s">
        <v>16</v>
      </c>
      <c r="B12" s="349">
        <f>'Financial Progress'!C39</f>
        <v>22671890.112400003</v>
      </c>
      <c r="C12" s="350"/>
      <c r="D12" s="350"/>
      <c r="E12" s="155" t="s">
        <v>17</v>
      </c>
      <c r="F12" s="87"/>
      <c r="G12" s="88"/>
      <c r="H12" s="88"/>
      <c r="I12" s="89"/>
      <c r="J12" s="10"/>
      <c r="K12" s="10"/>
      <c r="L12" s="10"/>
      <c r="M12" s="10"/>
      <c r="N12" s="10"/>
      <c r="O12" s="10"/>
      <c r="P12" s="11"/>
    </row>
    <row r="13" spans="1:16" ht="14.25" customHeight="1">
      <c r="A13" s="83" t="s">
        <v>18</v>
      </c>
      <c r="B13" s="340">
        <v>18600000</v>
      </c>
      <c r="C13" s="341"/>
      <c r="D13" s="118" t="s">
        <v>19</v>
      </c>
      <c r="E13" s="347"/>
      <c r="F13" s="348"/>
      <c r="G13" s="348"/>
      <c r="H13" s="348"/>
      <c r="I13" s="147"/>
    </row>
    <row r="14" spans="1:16" ht="14.25" customHeight="1">
      <c r="A14" s="90" t="s">
        <v>20</v>
      </c>
      <c r="B14" s="187" t="s">
        <v>21</v>
      </c>
      <c r="C14" s="184"/>
      <c r="D14" s="185">
        <f>'Financial Progress'!E39*'Financial Progress'!C9/'Financial Progress'!C39</f>
        <v>0.85000000019671929</v>
      </c>
      <c r="E14" s="355" t="s">
        <v>22</v>
      </c>
      <c r="F14" s="356"/>
      <c r="G14" s="356"/>
      <c r="H14" s="186"/>
      <c r="I14" s="178">
        <f>'Financial Progress'!BN39/'Financial Progress'!BM39</f>
        <v>0.84999999909188284</v>
      </c>
    </row>
    <row r="15" spans="1:16" ht="14.25" customHeight="1">
      <c r="A15" s="90" t="s">
        <v>23</v>
      </c>
      <c r="B15" s="156" t="s">
        <v>24</v>
      </c>
      <c r="C15" s="342">
        <f>_xlfn.XLOOKUP(CONCATENATE(B11,"a"),'Financial Progress'!A5:BI5,'Financial Progress'!A9:BI9)</f>
        <v>1</v>
      </c>
      <c r="D15" s="343"/>
      <c r="E15" s="344" t="s">
        <v>25</v>
      </c>
      <c r="F15" s="344"/>
      <c r="G15" s="344"/>
      <c r="H15" s="344"/>
      <c r="I15" s="235">
        <v>46083</v>
      </c>
    </row>
    <row r="16" spans="1:16" ht="21.2" customHeight="1">
      <c r="A16" s="56"/>
      <c r="B16" s="57"/>
      <c r="E16" s="11"/>
      <c r="F16" s="11"/>
      <c r="G16" s="11"/>
      <c r="H16" s="11"/>
      <c r="I16" s="58"/>
    </row>
    <row r="17" spans="1:10" ht="14.25" customHeight="1">
      <c r="A17" s="292" t="s">
        <v>26</v>
      </c>
      <c r="B17" s="345"/>
      <c r="C17" s="345"/>
      <c r="D17" s="345"/>
      <c r="E17" s="345"/>
      <c r="F17" s="345"/>
      <c r="G17" s="345"/>
      <c r="H17" s="345"/>
      <c r="I17" s="346"/>
    </row>
    <row r="18" spans="1:10" s="9" customFormat="1" ht="14.25" customHeight="1">
      <c r="A18" s="59" t="s">
        <v>27</v>
      </c>
      <c r="B18" s="353">
        <f>_xlfn.XLOOKUP(CONCATENATE(B11,"a"),'Financial Progress'!A5:CP5,'Financial Progress'!A39:CP39)</f>
        <v>1269565.3600000001</v>
      </c>
      <c r="C18" s="354"/>
      <c r="D18" s="354"/>
      <c r="E18" s="60" t="str">
        <f>E12</f>
        <v>EUR</v>
      </c>
      <c r="F18" s="353">
        <f>_xlfn.XLOOKUP(CONCATENATE(B11,"b"),'Financial Progress'!A5:CP5,'Financial Progress'!A39:CP39)</f>
        <v>1269565.3600000001</v>
      </c>
      <c r="G18" s="354"/>
      <c r="H18" s="354"/>
      <c r="I18" s="61" t="s">
        <v>19</v>
      </c>
      <c r="J18" s="33"/>
    </row>
    <row r="19" spans="1:10" ht="14.25" customHeight="1">
      <c r="A19" s="62" t="s">
        <v>28</v>
      </c>
      <c r="B19" s="298">
        <f>ROUND(F19*C15,2)</f>
        <v>190434.8</v>
      </c>
      <c r="C19" s="299"/>
      <c r="D19" s="299"/>
      <c r="E19" s="60" t="str">
        <f>E12</f>
        <v>EUR</v>
      </c>
      <c r="F19" s="298">
        <f>_xlfn.XLOOKUP(CONCATENATE(B11,"c"),'Financial Progress'!A5:CP5,'Financial Progress'!A39:CP39)</f>
        <v>190434.79999999996</v>
      </c>
      <c r="G19" s="299"/>
      <c r="H19" s="299"/>
      <c r="I19" s="61" t="s">
        <v>19</v>
      </c>
    </row>
    <row r="20" spans="1:10" ht="14.25" customHeight="1">
      <c r="A20" s="62" t="s">
        <v>29</v>
      </c>
      <c r="B20" s="303">
        <v>0</v>
      </c>
      <c r="C20" s="339"/>
      <c r="D20" s="339"/>
      <c r="E20" s="102" t="str">
        <f>E12</f>
        <v>EUR</v>
      </c>
      <c r="F20" s="351">
        <v>0</v>
      </c>
      <c r="G20" s="352"/>
      <c r="H20" s="352"/>
      <c r="I20" s="61" t="s">
        <v>19</v>
      </c>
    </row>
    <row r="21" spans="1:10" s="32" customFormat="1" ht="14.25" customHeight="1">
      <c r="A21" s="63" t="s">
        <v>30</v>
      </c>
      <c r="B21" s="309">
        <f>B18-B19-B20</f>
        <v>1079130.56</v>
      </c>
      <c r="C21" s="310"/>
      <c r="D21" s="310"/>
      <c r="E21" s="64" t="str">
        <f>E12</f>
        <v>EUR</v>
      </c>
      <c r="F21" s="309">
        <f>_xlfn.XLOOKUP(CONCATENATE(B11,"d"),'Financial Progress'!A5:CP5,'Financial Progress'!A39:CP39)-F20</f>
        <v>1079130.56</v>
      </c>
      <c r="G21" s="310"/>
      <c r="H21" s="310"/>
      <c r="I21" s="65" t="s">
        <v>19</v>
      </c>
      <c r="J21" s="31"/>
    </row>
    <row r="22" spans="1:10" ht="21.2" customHeight="1">
      <c r="A22" s="56"/>
      <c r="B22" s="57"/>
      <c r="E22" s="11"/>
      <c r="F22" s="11"/>
      <c r="G22" s="11"/>
      <c r="H22" s="11"/>
      <c r="I22" s="58"/>
    </row>
    <row r="23" spans="1:10" ht="15.75">
      <c r="A23" s="292" t="s">
        <v>31</v>
      </c>
      <c r="B23" s="293"/>
      <c r="C23" s="293"/>
      <c r="D23" s="293"/>
      <c r="E23" s="293"/>
      <c r="F23" s="293"/>
      <c r="G23" s="293"/>
      <c r="H23" s="293"/>
      <c r="I23" s="294"/>
    </row>
    <row r="24" spans="1:10">
      <c r="A24" s="59" t="s">
        <v>32</v>
      </c>
      <c r="B24" s="298">
        <f>B13</f>
        <v>18600000</v>
      </c>
      <c r="C24" s="299"/>
      <c r="D24" s="299"/>
      <c r="E24" s="61" t="s">
        <v>19</v>
      </c>
      <c r="F24" s="300">
        <v>1</v>
      </c>
      <c r="G24" s="301"/>
      <c r="H24" s="301"/>
      <c r="I24" s="302"/>
    </row>
    <row r="25" spans="1:10">
      <c r="A25" s="62" t="s">
        <v>33</v>
      </c>
      <c r="B25" s="303">
        <f>'Financial Progress'!I39+'Financial Progress'!M39</f>
        <v>792874.35</v>
      </c>
      <c r="C25" s="304"/>
      <c r="D25" s="304"/>
      <c r="E25" s="61" t="s">
        <v>19</v>
      </c>
      <c r="F25" s="300">
        <f>ROUND(B25/$B$24,4)</f>
        <v>4.2599999999999999E-2</v>
      </c>
      <c r="G25" s="301"/>
      <c r="H25" s="301"/>
      <c r="I25" s="302"/>
    </row>
    <row r="26" spans="1:10">
      <c r="A26" s="62" t="s">
        <v>34</v>
      </c>
      <c r="B26" s="307">
        <f>B24-B25</f>
        <v>17807125.649999999</v>
      </c>
      <c r="C26" s="308"/>
      <c r="D26" s="308"/>
      <c r="E26" s="66" t="s">
        <v>19</v>
      </c>
      <c r="F26" s="300">
        <f>ROUND(B26/$B$24,4)</f>
        <v>0.95740000000000003</v>
      </c>
      <c r="G26" s="301"/>
      <c r="H26" s="301"/>
      <c r="I26" s="302"/>
    </row>
    <row r="27" spans="1:10">
      <c r="A27" s="67" t="s">
        <v>35</v>
      </c>
      <c r="B27" s="307">
        <f>F21</f>
        <v>1079130.56</v>
      </c>
      <c r="C27" s="308"/>
      <c r="D27" s="308"/>
      <c r="E27" s="66" t="s">
        <v>19</v>
      </c>
      <c r="F27" s="300">
        <f>ROUND(B27/$B$24,4)</f>
        <v>5.8000000000000003E-2</v>
      </c>
      <c r="G27" s="301"/>
      <c r="H27" s="301"/>
      <c r="I27" s="302"/>
    </row>
    <row r="28" spans="1:10" ht="14.25" customHeight="1">
      <c r="A28" s="63" t="s">
        <v>36</v>
      </c>
      <c r="B28" s="309">
        <f>B26-B27</f>
        <v>16727995.089999998</v>
      </c>
      <c r="C28" s="310"/>
      <c r="D28" s="310"/>
      <c r="E28" s="65" t="s">
        <v>19</v>
      </c>
      <c r="F28" s="311">
        <f>B28/$B$24</f>
        <v>0.89935457473118263</v>
      </c>
      <c r="G28" s="312"/>
      <c r="H28" s="312"/>
      <c r="I28" s="313"/>
    </row>
    <row r="29" spans="1:10" ht="37.5" hidden="1" customHeight="1">
      <c r="A29" s="68"/>
      <c r="B29" s="69"/>
      <c r="C29" s="69"/>
      <c r="D29" s="69"/>
      <c r="E29" s="68"/>
      <c r="F29" s="70"/>
      <c r="G29" s="70"/>
      <c r="H29" s="70"/>
      <c r="I29" s="70"/>
    </row>
    <row r="30" spans="1:10" ht="21.2" customHeight="1">
      <c r="A30" s="56"/>
      <c r="B30" s="57"/>
      <c r="E30" s="11"/>
      <c r="F30" s="11"/>
      <c r="G30" s="11"/>
      <c r="H30" s="11"/>
      <c r="I30" s="58"/>
    </row>
    <row r="31" spans="1:10" ht="15.75">
      <c r="A31" s="292" t="s">
        <v>37</v>
      </c>
      <c r="B31" s="293"/>
      <c r="C31" s="293"/>
      <c r="D31" s="293"/>
      <c r="E31" s="293"/>
      <c r="F31" s="293"/>
      <c r="G31" s="293"/>
      <c r="H31" s="293"/>
      <c r="I31" s="294"/>
    </row>
    <row r="32" spans="1:10" ht="16.5" customHeight="1">
      <c r="A32" s="314" t="s">
        <v>38</v>
      </c>
      <c r="B32" s="315"/>
      <c r="C32" s="316"/>
      <c r="D32" s="316"/>
      <c r="E32" s="316"/>
      <c r="F32" s="316"/>
      <c r="G32" s="316"/>
      <c r="H32" s="316"/>
      <c r="I32" s="317"/>
    </row>
    <row r="33" spans="1:10">
      <c r="A33" s="103" t="s">
        <v>39</v>
      </c>
      <c r="B33" s="306" t="s">
        <v>13</v>
      </c>
      <c r="C33" s="306"/>
      <c r="D33" s="306"/>
      <c r="E33" s="327"/>
      <c r="F33" s="327"/>
      <c r="G33" s="327"/>
      <c r="H33" s="327"/>
      <c r="I33" s="327"/>
      <c r="J33"/>
    </row>
    <row r="34" spans="1:10">
      <c r="A34" s="104" t="s">
        <v>40</v>
      </c>
      <c r="B34" s="305" t="s">
        <v>41</v>
      </c>
      <c r="C34" s="305"/>
      <c r="D34" s="305"/>
      <c r="E34" s="305"/>
      <c r="F34" s="305"/>
      <c r="G34" s="305"/>
      <c r="H34" s="305"/>
      <c r="I34" s="306"/>
      <c r="J34"/>
    </row>
    <row r="35" spans="1:10" ht="12.75" customHeight="1">
      <c r="A35" s="295"/>
      <c r="B35" s="296"/>
      <c r="C35" s="296"/>
      <c r="D35" s="296"/>
      <c r="E35" s="296"/>
      <c r="F35" s="296"/>
      <c r="G35" s="296"/>
      <c r="H35" s="296"/>
      <c r="I35" s="297"/>
      <c r="J35"/>
    </row>
    <row r="36" spans="1:10" ht="14.25" customHeight="1">
      <c r="A36" s="105" t="s">
        <v>42</v>
      </c>
      <c r="B36" s="305" t="s">
        <v>43</v>
      </c>
      <c r="C36" s="305"/>
      <c r="D36" s="305"/>
      <c r="E36" s="305"/>
      <c r="F36" s="305"/>
      <c r="G36" s="305"/>
      <c r="H36" s="305"/>
      <c r="I36" s="306"/>
      <c r="J36"/>
    </row>
    <row r="37" spans="1:10" ht="14.25" customHeight="1">
      <c r="A37" s="105" t="s">
        <v>44</v>
      </c>
      <c r="B37" s="305" t="s">
        <v>45</v>
      </c>
      <c r="C37" s="305"/>
      <c r="D37" s="305"/>
      <c r="E37" s="305"/>
      <c r="F37" s="305"/>
      <c r="G37" s="305"/>
      <c r="H37" s="305"/>
      <c r="I37" s="306"/>
      <c r="J37"/>
    </row>
    <row r="38" spans="1:10" ht="14.25" customHeight="1">
      <c r="A38" s="105" t="s">
        <v>46</v>
      </c>
      <c r="B38" s="372" t="s">
        <v>47</v>
      </c>
      <c r="C38" s="305"/>
      <c r="D38" s="305"/>
      <c r="E38" s="305"/>
      <c r="F38" s="305"/>
      <c r="G38" s="305"/>
      <c r="H38" s="305"/>
      <c r="I38" s="306"/>
      <c r="J38"/>
    </row>
    <row r="39" spans="1:10" ht="14.25" customHeight="1">
      <c r="A39" s="105" t="s">
        <v>48</v>
      </c>
      <c r="B39" s="373" t="s">
        <v>49</v>
      </c>
      <c r="C39" s="305"/>
      <c r="D39" s="305"/>
      <c r="E39" s="305"/>
      <c r="F39" s="305"/>
      <c r="G39" s="305"/>
      <c r="H39" s="305"/>
      <c r="I39" s="306"/>
      <c r="J39"/>
    </row>
    <row r="40" spans="1:10" ht="14.25" customHeight="1">
      <c r="A40" s="377"/>
      <c r="B40" s="378"/>
      <c r="C40" s="378"/>
      <c r="D40" s="378"/>
      <c r="E40" s="378"/>
      <c r="F40" s="378"/>
      <c r="G40" s="378"/>
      <c r="H40" s="378"/>
      <c r="I40" s="379"/>
      <c r="J40"/>
    </row>
    <row r="41" spans="1:10" ht="15" customHeight="1">
      <c r="A41" s="380" t="s">
        <v>50</v>
      </c>
      <c r="B41" s="381"/>
      <c r="C41" s="381"/>
      <c r="D41" s="381"/>
      <c r="E41" s="381"/>
      <c r="F41" s="381"/>
      <c r="G41" s="381"/>
      <c r="H41" s="381"/>
      <c r="I41" s="382"/>
      <c r="J41"/>
    </row>
    <row r="42" spans="1:10" ht="115.5" customHeight="1">
      <c r="A42" s="369" t="s">
        <v>51</v>
      </c>
      <c r="B42" s="370"/>
      <c r="C42" s="370"/>
      <c r="D42" s="370"/>
      <c r="E42" s="370"/>
      <c r="F42" s="370"/>
      <c r="G42" s="370"/>
      <c r="H42" s="370"/>
      <c r="I42" s="371"/>
      <c r="J42"/>
    </row>
    <row r="43" spans="1:10" ht="14.25" customHeight="1">
      <c r="A43" s="213" t="s">
        <v>52</v>
      </c>
      <c r="B43" s="106" t="s">
        <v>53</v>
      </c>
      <c r="C43" s="374" t="s">
        <v>54</v>
      </c>
      <c r="D43" s="375"/>
      <c r="E43" s="375"/>
      <c r="F43" s="375"/>
      <c r="G43" s="375"/>
      <c r="H43" s="375"/>
      <c r="I43" s="376"/>
      <c r="J43"/>
    </row>
    <row r="44" spans="1:10" ht="50.25" customHeight="1">
      <c r="A44" s="107" t="s">
        <v>55</v>
      </c>
      <c r="B44" s="357" t="s">
        <v>56</v>
      </c>
      <c r="C44" s="358"/>
      <c r="D44" s="358"/>
      <c r="E44" s="358"/>
      <c r="F44" s="358"/>
      <c r="G44" s="358"/>
      <c r="H44" s="358"/>
      <c r="I44" s="359"/>
      <c r="J44"/>
    </row>
    <row r="45" spans="1:10" ht="17.25" customHeight="1">
      <c r="A45" s="368" t="s">
        <v>57</v>
      </c>
      <c r="B45" s="316"/>
      <c r="C45" s="316"/>
      <c r="D45" s="316"/>
      <c r="E45" s="316"/>
      <c r="F45" s="316"/>
      <c r="G45" s="316"/>
      <c r="H45" s="316"/>
      <c r="I45" s="317"/>
      <c r="J45"/>
    </row>
    <row r="46" spans="1:10" ht="32.450000000000003" customHeight="1">
      <c r="A46" s="103" t="s">
        <v>39</v>
      </c>
      <c r="B46" s="306" t="s">
        <v>58</v>
      </c>
      <c r="C46" s="306"/>
      <c r="D46" s="306"/>
      <c r="E46" s="327"/>
      <c r="F46" s="327"/>
      <c r="G46" s="327"/>
      <c r="H46" s="327"/>
      <c r="I46" s="327"/>
      <c r="J46"/>
    </row>
    <row r="47" spans="1:10" ht="15" customHeight="1">
      <c r="A47" s="104" t="s">
        <v>40</v>
      </c>
      <c r="B47" s="305" t="s">
        <v>59</v>
      </c>
      <c r="C47" s="305"/>
      <c r="D47" s="305"/>
      <c r="E47" s="305"/>
      <c r="F47" s="305"/>
      <c r="G47" s="305"/>
      <c r="H47" s="305"/>
      <c r="I47" s="306"/>
      <c r="J47"/>
    </row>
    <row r="48" spans="1:10" ht="16.350000000000001" customHeight="1">
      <c r="A48" s="295"/>
      <c r="B48" s="296"/>
      <c r="C48" s="296"/>
      <c r="D48" s="296"/>
      <c r="E48" s="296"/>
      <c r="F48" s="296"/>
      <c r="G48" s="296"/>
      <c r="H48" s="296"/>
      <c r="I48" s="297"/>
      <c r="J48"/>
    </row>
    <row r="49" spans="1:10" ht="16.5" customHeight="1">
      <c r="A49" s="105" t="s">
        <v>42</v>
      </c>
      <c r="B49" s="305" t="s">
        <v>60</v>
      </c>
      <c r="C49" s="305"/>
      <c r="D49" s="305"/>
      <c r="E49" s="305"/>
      <c r="F49" s="305"/>
      <c r="G49" s="305"/>
      <c r="H49" s="305"/>
      <c r="I49" s="306"/>
      <c r="J49"/>
    </row>
    <row r="50" spans="1:10">
      <c r="A50" s="105" t="s">
        <v>44</v>
      </c>
      <c r="B50" s="305" t="s">
        <v>61</v>
      </c>
      <c r="C50" s="305"/>
      <c r="D50" s="305"/>
      <c r="E50" s="305"/>
      <c r="F50" s="305"/>
      <c r="G50" s="305"/>
      <c r="H50" s="305"/>
      <c r="I50" s="306"/>
      <c r="J50"/>
    </row>
    <row r="51" spans="1:10">
      <c r="A51" s="105" t="s">
        <v>46</v>
      </c>
      <c r="B51" s="305" t="s">
        <v>62</v>
      </c>
      <c r="C51" s="305"/>
      <c r="D51" s="305"/>
      <c r="E51" s="305"/>
      <c r="F51" s="305"/>
      <c r="G51" s="305"/>
      <c r="H51" s="305"/>
      <c r="I51" s="306"/>
      <c r="J51"/>
    </row>
    <row r="52" spans="1:10">
      <c r="A52" s="105" t="s">
        <v>48</v>
      </c>
      <c r="B52" s="373" t="s">
        <v>63</v>
      </c>
      <c r="C52" s="305"/>
      <c r="D52" s="305"/>
      <c r="E52" s="305"/>
      <c r="F52" s="305"/>
      <c r="G52" s="305"/>
      <c r="H52" s="305"/>
      <c r="I52" s="306"/>
      <c r="J52"/>
    </row>
    <row r="53" spans="1:10">
      <c r="A53" s="377"/>
      <c r="B53" s="378"/>
      <c r="C53" s="378"/>
      <c r="D53" s="378"/>
      <c r="E53" s="378"/>
      <c r="F53" s="378"/>
      <c r="G53" s="378"/>
      <c r="H53" s="378"/>
      <c r="I53" s="379"/>
      <c r="J53"/>
    </row>
    <row r="54" spans="1:10" ht="13.5" customHeight="1">
      <c r="A54" s="389" t="s">
        <v>64</v>
      </c>
      <c r="B54" s="390"/>
      <c r="C54" s="390"/>
      <c r="D54" s="390"/>
      <c r="E54" s="390"/>
      <c r="F54" s="390"/>
      <c r="G54" s="390"/>
      <c r="H54" s="390"/>
      <c r="I54" s="391"/>
      <c r="J54"/>
    </row>
    <row r="55" spans="1:10" ht="97.5" customHeight="1">
      <c r="A55" s="386" t="s">
        <v>65</v>
      </c>
      <c r="B55" s="387"/>
      <c r="C55" s="387"/>
      <c r="D55" s="387"/>
      <c r="E55" s="387"/>
      <c r="F55" s="387"/>
      <c r="G55" s="387"/>
      <c r="H55" s="387"/>
      <c r="I55" s="388"/>
      <c r="J55"/>
    </row>
    <row r="56" spans="1:10">
      <c r="A56" s="214" t="s">
        <v>66</v>
      </c>
      <c r="B56" s="71" t="s">
        <v>53</v>
      </c>
      <c r="C56" s="383" t="s">
        <v>67</v>
      </c>
      <c r="D56" s="384"/>
      <c r="E56" s="384"/>
      <c r="F56" s="384"/>
      <c r="G56" s="384"/>
      <c r="H56" s="384"/>
      <c r="I56" s="385"/>
      <c r="J56"/>
    </row>
    <row r="57" spans="1:10" ht="50.25" customHeight="1">
      <c r="A57" s="72" t="s">
        <v>68</v>
      </c>
      <c r="B57" s="357" t="s">
        <v>56</v>
      </c>
      <c r="C57" s="358"/>
      <c r="D57" s="358"/>
      <c r="E57" s="358"/>
      <c r="F57" s="358"/>
      <c r="G57" s="358"/>
      <c r="H57" s="358"/>
      <c r="I57" s="359"/>
      <c r="J57"/>
    </row>
    <row r="58" spans="1:10">
      <c r="A58" s="73" t="s">
        <v>69</v>
      </c>
      <c r="B58" s="74"/>
      <c r="C58" s="74"/>
      <c r="D58" s="74"/>
      <c r="E58" s="74"/>
      <c r="F58" s="74"/>
      <c r="G58" s="74"/>
      <c r="H58" s="74"/>
      <c r="I58" s="75"/>
      <c r="J58"/>
    </row>
    <row r="59" spans="1:10" ht="13.5" customHeight="1">
      <c r="A59" s="103" t="s">
        <v>39</v>
      </c>
      <c r="B59" s="365" t="s">
        <v>58</v>
      </c>
      <c r="C59" s="365"/>
      <c r="D59" s="365"/>
      <c r="E59" s="365"/>
      <c r="F59" s="365"/>
      <c r="G59" s="365"/>
      <c r="H59" s="365"/>
      <c r="I59" s="365"/>
      <c r="J59"/>
    </row>
    <row r="60" spans="1:10">
      <c r="A60" s="103" t="s">
        <v>40</v>
      </c>
      <c r="B60" s="365" t="s">
        <v>59</v>
      </c>
      <c r="C60" s="365"/>
      <c r="D60" s="365"/>
      <c r="E60" s="365"/>
      <c r="F60" s="365"/>
      <c r="G60" s="365"/>
      <c r="H60" s="365"/>
      <c r="I60" s="365"/>
      <c r="J60"/>
    </row>
    <row r="61" spans="1:10">
      <c r="A61" s="295"/>
      <c r="B61" s="360"/>
      <c r="C61" s="360"/>
      <c r="D61" s="360"/>
      <c r="E61" s="360"/>
      <c r="F61" s="360"/>
      <c r="G61" s="360"/>
      <c r="H61" s="360"/>
      <c r="I61" s="361"/>
      <c r="J61"/>
    </row>
    <row r="62" spans="1:10" ht="15.75" customHeight="1">
      <c r="A62" s="105" t="s">
        <v>42</v>
      </c>
      <c r="B62" s="365" t="s">
        <v>70</v>
      </c>
      <c r="C62" s="365"/>
      <c r="D62" s="365"/>
      <c r="E62" s="365"/>
      <c r="F62" s="365"/>
      <c r="G62" s="365"/>
      <c r="H62" s="365"/>
      <c r="I62" s="365"/>
      <c r="J62"/>
    </row>
    <row r="63" spans="1:10">
      <c r="A63" s="105" t="s">
        <v>44</v>
      </c>
      <c r="B63" s="365" t="s">
        <v>71</v>
      </c>
      <c r="C63" s="365"/>
      <c r="D63" s="365"/>
      <c r="E63" s="365"/>
      <c r="F63" s="365"/>
      <c r="G63" s="365"/>
      <c r="H63" s="365"/>
      <c r="I63" s="365"/>
    </row>
    <row r="64" spans="1:10" ht="14.25" customHeight="1">
      <c r="A64" s="105" t="s">
        <v>46</v>
      </c>
      <c r="B64" s="366" t="s">
        <v>72</v>
      </c>
      <c r="C64" s="366"/>
      <c r="D64" s="366"/>
      <c r="E64" s="366"/>
      <c r="F64" s="366"/>
      <c r="G64" s="366"/>
      <c r="H64" s="366"/>
      <c r="I64" s="366"/>
      <c r="J64"/>
    </row>
    <row r="65" spans="1:9">
      <c r="A65" s="105" t="s">
        <v>48</v>
      </c>
      <c r="B65" s="367" t="s">
        <v>73</v>
      </c>
      <c r="C65" s="365"/>
      <c r="D65" s="365"/>
      <c r="E65" s="365"/>
      <c r="F65" s="365"/>
      <c r="G65" s="365"/>
      <c r="H65" s="365"/>
      <c r="I65" s="365"/>
    </row>
    <row r="66" spans="1:9">
      <c r="A66" s="105"/>
      <c r="B66" s="108"/>
      <c r="C66" s="108"/>
      <c r="D66" s="108"/>
      <c r="E66" s="108"/>
      <c r="F66" s="108"/>
      <c r="G66" s="108"/>
      <c r="H66" s="108"/>
      <c r="I66" s="109"/>
    </row>
    <row r="67" spans="1:9">
      <c r="A67" s="55" t="s">
        <v>74</v>
      </c>
      <c r="B67" s="76"/>
      <c r="C67" s="76"/>
      <c r="D67" s="76"/>
      <c r="E67" s="76"/>
      <c r="F67" s="76"/>
      <c r="G67" s="76"/>
      <c r="H67" s="76"/>
      <c r="I67" s="77"/>
    </row>
    <row r="68" spans="1:9" ht="117.75" customHeight="1">
      <c r="A68" s="362" t="s">
        <v>75</v>
      </c>
      <c r="B68" s="363"/>
      <c r="C68" s="363"/>
      <c r="D68" s="363"/>
      <c r="E68" s="363"/>
      <c r="F68" s="363"/>
      <c r="G68" s="363"/>
      <c r="H68" s="363"/>
      <c r="I68" s="364"/>
    </row>
    <row r="69" spans="1:9">
      <c r="A69" s="215" t="s">
        <v>76</v>
      </c>
      <c r="B69" s="110"/>
      <c r="C69" s="110"/>
      <c r="D69" s="110"/>
      <c r="E69" s="110"/>
      <c r="F69" s="110"/>
      <c r="G69" s="110"/>
      <c r="H69" s="110"/>
      <c r="I69" s="111"/>
    </row>
    <row r="70" spans="1:9">
      <c r="A70" s="216" t="s">
        <v>77</v>
      </c>
      <c r="B70" s="112"/>
      <c r="C70" s="112"/>
      <c r="D70" s="112"/>
      <c r="E70" s="112"/>
      <c r="F70" s="112"/>
      <c r="G70" s="112"/>
      <c r="H70" s="112"/>
      <c r="I70" s="113"/>
    </row>
    <row r="71" spans="1:9">
      <c r="A71" s="216" t="s">
        <v>78</v>
      </c>
      <c r="B71" s="112"/>
      <c r="C71" s="112"/>
      <c r="D71" s="112"/>
      <c r="E71" s="112"/>
      <c r="F71" s="112"/>
      <c r="G71" s="112"/>
      <c r="H71" s="112"/>
      <c r="I71" s="113"/>
    </row>
    <row r="72" spans="1:9">
      <c r="A72" s="216" t="s">
        <v>79</v>
      </c>
      <c r="B72" s="112"/>
      <c r="C72" s="112"/>
      <c r="D72" s="112"/>
      <c r="E72" s="112"/>
      <c r="F72" s="112"/>
      <c r="G72" s="112"/>
      <c r="H72" s="112"/>
      <c r="I72" s="113"/>
    </row>
    <row r="73" spans="1:9">
      <c r="A73" s="216" t="s">
        <v>80</v>
      </c>
      <c r="B73" s="114"/>
      <c r="C73" s="114"/>
      <c r="D73" s="114"/>
      <c r="E73" s="112"/>
      <c r="F73" s="115"/>
      <c r="G73" s="115"/>
      <c r="H73" s="115"/>
      <c r="I73" s="116"/>
    </row>
    <row r="74" spans="1:9">
      <c r="A74" s="213" t="s">
        <v>81</v>
      </c>
      <c r="B74" s="106" t="s">
        <v>53</v>
      </c>
      <c r="C74" s="374" t="s">
        <v>82</v>
      </c>
      <c r="D74" s="375"/>
      <c r="E74" s="375"/>
      <c r="F74" s="375"/>
      <c r="G74" s="375"/>
      <c r="H74" s="375"/>
      <c r="I74" s="376"/>
    </row>
    <row r="75" spans="1:9" ht="50.25" customHeight="1">
      <c r="A75" s="107" t="s">
        <v>68</v>
      </c>
      <c r="B75" s="357" t="s">
        <v>56</v>
      </c>
      <c r="C75" s="358"/>
      <c r="D75" s="358"/>
      <c r="E75" s="358"/>
      <c r="F75" s="358"/>
      <c r="G75" s="358"/>
      <c r="H75" s="358"/>
      <c r="I75" s="359"/>
    </row>
    <row r="77" spans="1:9">
      <c r="B77"/>
      <c r="C77"/>
      <c r="D77"/>
      <c r="E77"/>
      <c r="F77"/>
      <c r="G77"/>
      <c r="H77"/>
      <c r="I77"/>
    </row>
  </sheetData>
  <dataConsolidate/>
  <customSheetViews>
    <customSheetView guid="{18716E43-88F1-44DC-AE73-ADDC61118D9F}" hiddenRows="1" hiddenColumns="1">
      <selection activeCell="D29" sqref="D29"/>
      <pageMargins left="0" right="0" top="0" bottom="0" header="0" footer="0"/>
      <pageSetup paperSize="9" fitToHeight="6" orientation="landscape"/>
      <headerFooter alignWithMargins="0"/>
    </customSheetView>
  </customSheetViews>
  <mergeCells count="77">
    <mergeCell ref="B46:I46"/>
    <mergeCell ref="B47:I47"/>
    <mergeCell ref="C74:I74"/>
    <mergeCell ref="B52:I52"/>
    <mergeCell ref="B49:I49"/>
    <mergeCell ref="B50:I50"/>
    <mergeCell ref="B51:I51"/>
    <mergeCell ref="C56:I56"/>
    <mergeCell ref="A55:I55"/>
    <mergeCell ref="B57:I57"/>
    <mergeCell ref="A54:I54"/>
    <mergeCell ref="A53:I53"/>
    <mergeCell ref="A48:I48"/>
    <mergeCell ref="A45:I45"/>
    <mergeCell ref="B33:I33"/>
    <mergeCell ref="A42:I42"/>
    <mergeCell ref="B36:I36"/>
    <mergeCell ref="B37:I37"/>
    <mergeCell ref="B38:I38"/>
    <mergeCell ref="B39:I39"/>
    <mergeCell ref="C43:I43"/>
    <mergeCell ref="B44:I44"/>
    <mergeCell ref="A40:I40"/>
    <mergeCell ref="A41:I41"/>
    <mergeCell ref="B75:I75"/>
    <mergeCell ref="A61:I61"/>
    <mergeCell ref="A68:I68"/>
    <mergeCell ref="B60:I60"/>
    <mergeCell ref="B59:I59"/>
    <mergeCell ref="B62:I62"/>
    <mergeCell ref="B63:I63"/>
    <mergeCell ref="B64:I64"/>
    <mergeCell ref="B65:I65"/>
    <mergeCell ref="B11:I11"/>
    <mergeCell ref="B21:D21"/>
    <mergeCell ref="B20:D20"/>
    <mergeCell ref="B13:C13"/>
    <mergeCell ref="C15:D15"/>
    <mergeCell ref="E15:H15"/>
    <mergeCell ref="A17:I17"/>
    <mergeCell ref="E13:H13"/>
    <mergeCell ref="B12:D12"/>
    <mergeCell ref="F21:H21"/>
    <mergeCell ref="F20:H20"/>
    <mergeCell ref="B18:D18"/>
    <mergeCell ref="E14:G14"/>
    <mergeCell ref="F18:H18"/>
    <mergeCell ref="B19:D19"/>
    <mergeCell ref="A1:I1"/>
    <mergeCell ref="A2:I2"/>
    <mergeCell ref="A3:I3"/>
    <mergeCell ref="F10:I10"/>
    <mergeCell ref="F7:I7"/>
    <mergeCell ref="B7:E7"/>
    <mergeCell ref="B9:I9"/>
    <mergeCell ref="C10:D10"/>
    <mergeCell ref="B6:I6"/>
    <mergeCell ref="A5:I5"/>
    <mergeCell ref="C8:D8"/>
    <mergeCell ref="F8:I8"/>
    <mergeCell ref="F4:I4"/>
    <mergeCell ref="A23:I23"/>
    <mergeCell ref="A35:I35"/>
    <mergeCell ref="F19:H19"/>
    <mergeCell ref="B24:D24"/>
    <mergeCell ref="F24:I24"/>
    <mergeCell ref="B25:D25"/>
    <mergeCell ref="B34:I34"/>
    <mergeCell ref="F25:I25"/>
    <mergeCell ref="F27:I27"/>
    <mergeCell ref="F26:I26"/>
    <mergeCell ref="B27:D27"/>
    <mergeCell ref="B26:D26"/>
    <mergeCell ref="B28:D28"/>
    <mergeCell ref="F28:I28"/>
    <mergeCell ref="A32:I32"/>
    <mergeCell ref="A31:I31"/>
  </mergeCells>
  <phoneticPr fontId="9" type="noConversion"/>
  <dataValidations xWindow="601" yWindow="609" count="14">
    <dataValidation type="list" allowBlank="1" showInputMessage="1" showErrorMessage="1" sqref="A45" xr:uid="{00000000-0002-0000-0100-000000000000}">
      <formula1>"National Coordination Unit, Intermediate Body"</formula1>
    </dataValidation>
    <dataValidation type="list" allowBlank="1" showInputMessage="1" showErrorMessage="1" prompt="Please select the local currency" sqref="E12" xr:uid="{00000000-0002-0000-0100-000002000000}">
      <formula1>"EUR, BGN, CZK, HUF,PLN,RON"</formula1>
    </dataValidation>
    <dataValidation type="list" allowBlank="1" showInputMessage="1" showErrorMessage="1" sqref="A32:I32" xr:uid="{00000000-0002-0000-0100-000004000000}">
      <formula1>"Executing Agency: Programme Operator, Executing Agency: Project Operator"</formula1>
    </dataValidation>
    <dataValidation type="list" allowBlank="1" showInputMessage="1" showErrorMessage="1" sqref="A54:I54" xr:uid="{00000000-0002-0000-0100-000005000000}">
      <formula1>"The National Coordination Unit hereby certifies, The Intermediate Body hereby certifies"</formula1>
    </dataValidation>
    <dataValidation allowBlank="1" showInputMessage="1" showErrorMessage="1" prompt="Insert identification code from Partner country (if available)" sqref="B7:E7" xr:uid="{00000000-0002-0000-0100-000006000000}"/>
    <dataValidation allowBlank="1" showInputMessage="1" showErrorMessage="1" prompt="Insert identification code from Switzerland (7F-… or UX-xx), as indicated in the decision letter / SMA. " sqref="F7:I7" xr:uid="{00000000-0002-0000-0100-000007000000}"/>
    <dataValidation allowBlank="1" showInputMessage="1" showErrorMessage="1" prompt="Value from sheet &quot;Financial Progress&quot;" sqref="B12:D12" xr:uid="{00000000-0002-0000-0100-000008000000}"/>
    <dataValidation allowBlank="1" showInputMessage="1" showErrorMessage="1" prompt="Value from sheet &quot;Financial Progress&quot;. Ensure that the correct Reimbursement Request No is selected above. " sqref="C15:D15" xr:uid="{00000000-0002-0000-0100-000009000000}"/>
    <dataValidation allowBlank="1" showInputMessage="1" showErrorMessage="1" prompt="as indicated in the Support Measure Agreement, Art. 2" sqref="C8:D8 F8:I8" xr:uid="{00000000-0002-0000-0100-00000A000000}"/>
    <dataValidation allowBlank="1" showInputMessage="1" showErrorMessage="1" prompt="please use the same name as in the Support Measure Proposal. " sqref="B6:I6" xr:uid="{00000000-0002-0000-0100-00000B000000}"/>
    <dataValidation allowBlank="1" showErrorMessage="1" prompt="Value from sheet &quot;Financial Progress&quot;. Ensure that the correct Reimbursement Request No is selected above. " sqref="B18:D18" xr:uid="{00000000-0002-0000-0100-00000D000000}"/>
    <dataValidation type="list" allowBlank="1" showInputMessage="1" showErrorMessage="1" sqref="F4:I4" xr:uid="{D91AA97E-3010-4D09-B0E7-79DC22E4092D}">
      <formula1>"Bulgaria,Croatia,Cyprus,Czech Republic,Estonia, Hungary, Latvia, Lithuania, Malta, Poland, Romania, Slovak Republic, Slovenia"</formula1>
    </dataValidation>
    <dataValidation type="list" allowBlank="1" showInputMessage="1" showErrorMessage="1" sqref="B15" xr:uid="{00000000-0002-0000-0100-000003000000}">
      <formula1>"CHF/EUR, CHF/BGN, CHF/CZK, CHF/HRK, CHF/HUF,CHF/PLN,CHF/RON"</formula1>
    </dataValidation>
    <dataValidation type="whole" allowBlank="1" showInputMessage="1" showErrorMessage="1" sqref="B11:I11" xr:uid="{9A205738-7188-4F91-A0C2-5B30DB1C5510}">
      <formula1>1</formula1>
      <formula2>14</formula2>
    </dataValidation>
  </dataValidations>
  <hyperlinks>
    <hyperlink ref="B38" r:id="rId1" xr:uid="{D8AB6B06-FBAA-4DAB-BA48-59E691C6B2A5}"/>
    <hyperlink ref="B64" r:id="rId2" display="mailto:janika.otsing@rtk.ee" xr:uid="{F690F217-ED13-420A-8C55-F599A92217A5}"/>
  </hyperlinks>
  <pageMargins left="0.23622047244094491" right="0.23622047244094491" top="0.35433070866141736" bottom="0.35433070866141736" header="0.31496062992125984" footer="0.31496062992125984"/>
  <pageSetup paperSize="9" scale="95" fitToHeight="0" orientation="portrait" r:id="rId3"/>
  <headerFooter alignWithMargins="0">
    <oddFooter>&amp;Ltemplate v13.7.23&amp;C&amp;A&amp;RPage &amp;P</oddFooter>
  </headerFooter>
  <rowBreaks count="1" manualBreakCount="1">
    <brk id="44" max="16383" man="1"/>
  </rowBreak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outlinePr summaryBelow="0"/>
    <pageSetUpPr fitToPage="1"/>
  </sheetPr>
  <dimension ref="A1:CZ56"/>
  <sheetViews>
    <sheetView showGridLines="0" zoomScale="90" zoomScaleNormal="90" zoomScalePageLayoutView="85" workbookViewId="0">
      <pane xSplit="5" ySplit="8" topLeftCell="F9" activePane="bottomRight" state="frozen"/>
      <selection pane="topRight" activeCell="F1" sqref="F1"/>
      <selection pane="bottomLeft" activeCell="A9" sqref="A9"/>
      <selection pane="bottomRight" activeCell="BY25" sqref="BY25"/>
    </sheetView>
  </sheetViews>
  <sheetFormatPr defaultColWidth="7.5703125" defaultRowHeight="12.75"/>
  <cols>
    <col min="1" max="1" width="6.42578125" style="15" customWidth="1"/>
    <col min="2" max="2" width="39.5703125" style="15" customWidth="1"/>
    <col min="3" max="3" width="12.85546875" style="15" customWidth="1"/>
    <col min="4" max="4" width="11" style="15" customWidth="1"/>
    <col min="5" max="5" width="12.5703125" style="15" customWidth="1"/>
    <col min="6" max="17" width="11" style="21" customWidth="1"/>
    <col min="18" max="61" width="11" style="21" hidden="1" customWidth="1"/>
    <col min="62" max="63" width="11" style="15" customWidth="1"/>
    <col min="64" max="64" width="14.140625" style="15" customWidth="1"/>
    <col min="65" max="67" width="11" style="15" customWidth="1"/>
    <col min="68" max="68" width="12.42578125" style="15" customWidth="1"/>
    <col min="69" max="69" width="15.5703125" style="15" customWidth="1"/>
    <col min="70" max="70" width="15.42578125" style="15" customWidth="1"/>
    <col min="71" max="71" width="12.85546875" style="16" customWidth="1"/>
    <col min="72" max="16384" width="7.5703125" style="15"/>
  </cols>
  <sheetData>
    <row r="1" spans="1:71" ht="18.75" customHeight="1">
      <c r="A1" s="279" t="str">
        <f>'Reimbursement Request'!A1:I1</f>
        <v>Swiss-Estonian Cooperation Programme</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c r="BC1" s="280"/>
      <c r="BD1" s="280"/>
      <c r="BE1" s="280"/>
      <c r="BF1" s="280"/>
      <c r="BG1" s="280"/>
      <c r="BH1" s="280"/>
      <c r="BI1" s="280"/>
      <c r="BJ1" s="280"/>
      <c r="BK1" s="280"/>
      <c r="BL1" s="280"/>
      <c r="BM1" s="280"/>
      <c r="BN1" s="280"/>
      <c r="BO1" s="280"/>
      <c r="BP1" s="280"/>
      <c r="BS1" s="15"/>
    </row>
    <row r="2" spans="1:71">
      <c r="A2" s="281" t="str">
        <f>CONCATENATE('Reimbursement Request'!A3:I3," / ",'Reimbursement Request'!A2:I2)</f>
        <v>Supporting Social Inclusion / Reimbursement Request No. 3</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S2" s="15"/>
    </row>
    <row r="3" spans="1:71" ht="20.25">
      <c r="A3" s="283" t="s">
        <v>83</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c r="BN3" s="284"/>
      <c r="BO3" s="284"/>
      <c r="BP3" s="284"/>
      <c r="BS3" s="15"/>
    </row>
    <row r="4" spans="1:71" ht="41.25" customHeight="1">
      <c r="A4" s="165" t="s">
        <v>1</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276"/>
      <c r="BR4" s="277"/>
      <c r="BS4" s="278"/>
    </row>
    <row r="5" spans="1:71" s="154" customFormat="1" ht="27" hidden="1" customHeight="1">
      <c r="A5" s="148"/>
      <c r="B5" s="149"/>
      <c r="C5" s="149"/>
      <c r="D5" s="149"/>
      <c r="E5" s="149"/>
      <c r="F5" s="150" t="s">
        <v>84</v>
      </c>
      <c r="G5" s="150" t="s">
        <v>85</v>
      </c>
      <c r="H5" s="150" t="s">
        <v>86</v>
      </c>
      <c r="I5" s="150" t="s">
        <v>87</v>
      </c>
      <c r="J5" s="150" t="s">
        <v>88</v>
      </c>
      <c r="K5" s="150" t="s">
        <v>89</v>
      </c>
      <c r="L5" s="150" t="s">
        <v>90</v>
      </c>
      <c r="M5" s="150" t="s">
        <v>91</v>
      </c>
      <c r="N5" s="150" t="s">
        <v>92</v>
      </c>
      <c r="O5" s="150" t="s">
        <v>93</v>
      </c>
      <c r="P5" s="150" t="s">
        <v>94</v>
      </c>
      <c r="Q5" s="150" t="s">
        <v>95</v>
      </c>
      <c r="R5" s="150" t="s">
        <v>96</v>
      </c>
      <c r="S5" s="150" t="s">
        <v>97</v>
      </c>
      <c r="T5" s="150" t="s">
        <v>98</v>
      </c>
      <c r="U5" s="150" t="s">
        <v>99</v>
      </c>
      <c r="V5" s="150" t="s">
        <v>100</v>
      </c>
      <c r="W5" s="150" t="s">
        <v>101</v>
      </c>
      <c r="X5" s="150" t="s">
        <v>102</v>
      </c>
      <c r="Y5" s="150" t="s">
        <v>103</v>
      </c>
      <c r="Z5" s="150" t="s">
        <v>104</v>
      </c>
      <c r="AA5" s="150" t="s">
        <v>105</v>
      </c>
      <c r="AB5" s="150" t="s">
        <v>106</v>
      </c>
      <c r="AC5" s="150" t="s">
        <v>107</v>
      </c>
      <c r="AD5" s="150" t="s">
        <v>108</v>
      </c>
      <c r="AE5" s="150" t="s">
        <v>109</v>
      </c>
      <c r="AF5" s="150" t="s">
        <v>110</v>
      </c>
      <c r="AG5" s="150" t="s">
        <v>111</v>
      </c>
      <c r="AH5" s="151" t="s">
        <v>112</v>
      </c>
      <c r="AI5" s="151" t="s">
        <v>113</v>
      </c>
      <c r="AJ5" s="151" t="s">
        <v>114</v>
      </c>
      <c r="AK5" s="151" t="s">
        <v>115</v>
      </c>
      <c r="AL5" s="150" t="s">
        <v>116</v>
      </c>
      <c r="AM5" s="150" t="s">
        <v>117</v>
      </c>
      <c r="AN5" s="150" t="s">
        <v>118</v>
      </c>
      <c r="AO5" s="150" t="s">
        <v>119</v>
      </c>
      <c r="AP5" s="151" t="s">
        <v>120</v>
      </c>
      <c r="AQ5" s="151" t="s">
        <v>121</v>
      </c>
      <c r="AR5" s="151" t="s">
        <v>122</v>
      </c>
      <c r="AS5" s="151" t="s">
        <v>123</v>
      </c>
      <c r="AT5" s="150" t="s">
        <v>124</v>
      </c>
      <c r="AU5" s="150" t="s">
        <v>125</v>
      </c>
      <c r="AV5" s="150" t="s">
        <v>126</v>
      </c>
      <c r="AW5" s="150" t="s">
        <v>127</v>
      </c>
      <c r="AX5" s="150" t="s">
        <v>128</v>
      </c>
      <c r="AY5" s="150" t="s">
        <v>129</v>
      </c>
      <c r="AZ5" s="150" t="s">
        <v>130</v>
      </c>
      <c r="BA5" s="150" t="s">
        <v>131</v>
      </c>
      <c r="BB5" s="150" t="s">
        <v>132</v>
      </c>
      <c r="BC5" s="150" t="s">
        <v>133</v>
      </c>
      <c r="BD5" s="150" t="s">
        <v>134</v>
      </c>
      <c r="BE5" s="150" t="s">
        <v>135</v>
      </c>
      <c r="BF5" s="151" t="s">
        <v>136</v>
      </c>
      <c r="BG5" s="150" t="s">
        <v>137</v>
      </c>
      <c r="BH5" s="150" t="s">
        <v>138</v>
      </c>
      <c r="BI5" s="150" t="s">
        <v>139</v>
      </c>
      <c r="BJ5" s="152"/>
      <c r="BK5" s="153"/>
      <c r="BL5" s="152"/>
      <c r="BM5" s="152"/>
      <c r="BN5" s="152"/>
      <c r="BO5" s="152"/>
      <c r="BP5" s="152"/>
      <c r="BQ5" s="152"/>
      <c r="BR5" s="152"/>
      <c r="BS5" s="226"/>
    </row>
    <row r="6" spans="1:71" s="17" customFormat="1">
      <c r="A6" s="285" t="s">
        <v>140</v>
      </c>
      <c r="B6" s="286"/>
      <c r="C6" s="287"/>
      <c r="D6" s="144"/>
      <c r="E6" s="144"/>
      <c r="F6" s="291" t="s">
        <v>141</v>
      </c>
      <c r="G6" s="267"/>
      <c r="H6" s="210">
        <v>45444</v>
      </c>
      <c r="I6" s="210">
        <v>45838</v>
      </c>
      <c r="J6" s="266" t="s">
        <v>142</v>
      </c>
      <c r="K6" s="267"/>
      <c r="L6" s="210">
        <v>45839</v>
      </c>
      <c r="M6" s="210">
        <v>46022</v>
      </c>
      <c r="N6" s="266" t="s">
        <v>143</v>
      </c>
      <c r="O6" s="267"/>
      <c r="P6" s="210">
        <v>46023</v>
      </c>
      <c r="Q6" s="210">
        <v>46203</v>
      </c>
      <c r="R6" s="266" t="s">
        <v>144</v>
      </c>
      <c r="S6" s="267"/>
      <c r="T6" s="210" t="s">
        <v>145</v>
      </c>
      <c r="U6" s="210" t="s">
        <v>146</v>
      </c>
      <c r="V6" s="266" t="s">
        <v>147</v>
      </c>
      <c r="W6" s="267"/>
      <c r="X6" s="210" t="s">
        <v>145</v>
      </c>
      <c r="Y6" s="210" t="s">
        <v>146</v>
      </c>
      <c r="Z6" s="266" t="s">
        <v>148</v>
      </c>
      <c r="AA6" s="267"/>
      <c r="AB6" s="210" t="s">
        <v>145</v>
      </c>
      <c r="AC6" s="210" t="s">
        <v>146</v>
      </c>
      <c r="AD6" s="266" t="s">
        <v>149</v>
      </c>
      <c r="AE6" s="267"/>
      <c r="AF6" s="210" t="s">
        <v>145</v>
      </c>
      <c r="AG6" s="210" t="s">
        <v>146</v>
      </c>
      <c r="AH6" s="266" t="s">
        <v>150</v>
      </c>
      <c r="AI6" s="267"/>
      <c r="AJ6" s="210" t="s">
        <v>145</v>
      </c>
      <c r="AK6" s="210" t="s">
        <v>146</v>
      </c>
      <c r="AL6" s="266" t="s">
        <v>151</v>
      </c>
      <c r="AM6" s="267"/>
      <c r="AN6" s="210" t="s">
        <v>145</v>
      </c>
      <c r="AO6" s="210" t="s">
        <v>146</v>
      </c>
      <c r="AP6" s="266" t="s">
        <v>152</v>
      </c>
      <c r="AQ6" s="267"/>
      <c r="AR6" s="210" t="s">
        <v>145</v>
      </c>
      <c r="AS6" s="210" t="s">
        <v>146</v>
      </c>
      <c r="AT6" s="266" t="s">
        <v>153</v>
      </c>
      <c r="AU6" s="267"/>
      <c r="AV6" s="210" t="s">
        <v>145</v>
      </c>
      <c r="AW6" s="210" t="s">
        <v>146</v>
      </c>
      <c r="AX6" s="266" t="s">
        <v>154</v>
      </c>
      <c r="AY6" s="267"/>
      <c r="AZ6" s="210" t="s">
        <v>145</v>
      </c>
      <c r="BA6" s="210" t="s">
        <v>146</v>
      </c>
      <c r="BB6" s="266" t="s">
        <v>155</v>
      </c>
      <c r="BC6" s="267"/>
      <c r="BD6" s="210" t="s">
        <v>145</v>
      </c>
      <c r="BE6" s="210" t="s">
        <v>146</v>
      </c>
      <c r="BF6" s="266" t="s">
        <v>156</v>
      </c>
      <c r="BG6" s="267"/>
      <c r="BH6" s="210" t="s">
        <v>145</v>
      </c>
      <c r="BI6" s="210" t="s">
        <v>146</v>
      </c>
      <c r="BJ6" s="288" t="s">
        <v>157</v>
      </c>
      <c r="BK6" s="289"/>
      <c r="BL6" s="289"/>
      <c r="BM6" s="289"/>
      <c r="BN6" s="289"/>
      <c r="BO6" s="289"/>
      <c r="BP6" s="290"/>
      <c r="BQ6" s="268" t="s">
        <v>158</v>
      </c>
      <c r="BR6" s="265"/>
      <c r="BS6" s="269"/>
    </row>
    <row r="7" spans="1:71" s="18" customFormat="1">
      <c r="A7" s="133"/>
      <c r="B7" s="49"/>
      <c r="C7" s="49" t="str">
        <f>'Reimbursement Request'!E12</f>
        <v>EUR</v>
      </c>
      <c r="D7" s="91" t="s">
        <v>159</v>
      </c>
      <c r="E7" s="91" t="s">
        <v>19</v>
      </c>
      <c r="F7" s="189" t="str">
        <f>$C$7</f>
        <v>EUR</v>
      </c>
      <c r="G7" s="190" t="s">
        <v>19</v>
      </c>
      <c r="H7" s="190" t="s">
        <v>19</v>
      </c>
      <c r="I7" s="191" t="s">
        <v>19</v>
      </c>
      <c r="J7" s="192" t="str">
        <f>$C$7</f>
        <v>EUR</v>
      </c>
      <c r="K7" s="193" t="s">
        <v>19</v>
      </c>
      <c r="L7" s="193" t="s">
        <v>19</v>
      </c>
      <c r="M7" s="194" t="s">
        <v>19</v>
      </c>
      <c r="N7" s="192" t="str">
        <f>$C$7</f>
        <v>EUR</v>
      </c>
      <c r="O7" s="193" t="s">
        <v>19</v>
      </c>
      <c r="P7" s="193" t="s">
        <v>19</v>
      </c>
      <c r="Q7" s="194" t="s">
        <v>19</v>
      </c>
      <c r="R7" s="192" t="str">
        <f>$C$7</f>
        <v>EUR</v>
      </c>
      <c r="S7" s="193" t="s">
        <v>19</v>
      </c>
      <c r="T7" s="193" t="s">
        <v>19</v>
      </c>
      <c r="U7" s="194" t="s">
        <v>19</v>
      </c>
      <c r="V7" s="192" t="str">
        <f>$C$7</f>
        <v>EUR</v>
      </c>
      <c r="W7" s="193" t="s">
        <v>19</v>
      </c>
      <c r="X7" s="193" t="s">
        <v>19</v>
      </c>
      <c r="Y7" s="194" t="s">
        <v>19</v>
      </c>
      <c r="Z7" s="192" t="str">
        <f>$C$7</f>
        <v>EUR</v>
      </c>
      <c r="AA7" s="193" t="s">
        <v>19</v>
      </c>
      <c r="AB7" s="193" t="s">
        <v>19</v>
      </c>
      <c r="AC7" s="194" t="s">
        <v>19</v>
      </c>
      <c r="AD7" s="192" t="str">
        <f>$C$7</f>
        <v>EUR</v>
      </c>
      <c r="AE7" s="193" t="s">
        <v>19</v>
      </c>
      <c r="AF7" s="193" t="s">
        <v>19</v>
      </c>
      <c r="AG7" s="194" t="s">
        <v>19</v>
      </c>
      <c r="AH7" s="192" t="str">
        <f>$C$7</f>
        <v>EUR</v>
      </c>
      <c r="AI7" s="193" t="s">
        <v>19</v>
      </c>
      <c r="AJ7" s="193" t="s">
        <v>19</v>
      </c>
      <c r="AK7" s="194" t="s">
        <v>19</v>
      </c>
      <c r="AL7" s="192" t="str">
        <f>$C$7</f>
        <v>EUR</v>
      </c>
      <c r="AM7" s="193" t="s">
        <v>19</v>
      </c>
      <c r="AN7" s="193" t="s">
        <v>19</v>
      </c>
      <c r="AO7" s="194" t="s">
        <v>19</v>
      </c>
      <c r="AP7" s="192" t="str">
        <f>$C$7</f>
        <v>EUR</v>
      </c>
      <c r="AQ7" s="193" t="s">
        <v>19</v>
      </c>
      <c r="AR7" s="193" t="s">
        <v>19</v>
      </c>
      <c r="AS7" s="194" t="s">
        <v>19</v>
      </c>
      <c r="AT7" s="192" t="str">
        <f>$C$7</f>
        <v>EUR</v>
      </c>
      <c r="AU7" s="193" t="s">
        <v>19</v>
      </c>
      <c r="AV7" s="193" t="s">
        <v>19</v>
      </c>
      <c r="AW7" s="194" t="s">
        <v>19</v>
      </c>
      <c r="AX7" s="192" t="str">
        <f>$C$7</f>
        <v>EUR</v>
      </c>
      <c r="AY7" s="193" t="s">
        <v>19</v>
      </c>
      <c r="AZ7" s="193" t="s">
        <v>19</v>
      </c>
      <c r="BA7" s="194" t="s">
        <v>19</v>
      </c>
      <c r="BB7" s="192" t="str">
        <f>$C$7</f>
        <v>EUR</v>
      </c>
      <c r="BC7" s="193" t="s">
        <v>19</v>
      </c>
      <c r="BD7" s="193" t="s">
        <v>19</v>
      </c>
      <c r="BE7" s="209" t="s">
        <v>19</v>
      </c>
      <c r="BF7" s="192" t="str">
        <f>$C$7</f>
        <v>EUR</v>
      </c>
      <c r="BG7" s="193" t="s">
        <v>19</v>
      </c>
      <c r="BH7" s="193" t="s">
        <v>19</v>
      </c>
      <c r="BI7" s="194" t="s">
        <v>19</v>
      </c>
      <c r="BJ7" s="264" t="str">
        <f>C7</f>
        <v>EUR</v>
      </c>
      <c r="BK7" s="265"/>
      <c r="BL7" s="265"/>
      <c r="BM7" s="264" t="s">
        <v>19</v>
      </c>
      <c r="BN7" s="265"/>
      <c r="BO7" s="265"/>
      <c r="BP7" s="265"/>
      <c r="BQ7" s="221" t="s">
        <v>19</v>
      </c>
      <c r="BR7" s="217" t="s">
        <v>19</v>
      </c>
      <c r="BS7" s="223" t="s">
        <v>19</v>
      </c>
    </row>
    <row r="8" spans="1:71" s="18" customFormat="1" ht="76.5">
      <c r="A8" s="133" t="s">
        <v>160</v>
      </c>
      <c r="B8" s="49" t="s">
        <v>161</v>
      </c>
      <c r="C8" s="49" t="s">
        <v>162</v>
      </c>
      <c r="D8" s="91" t="s">
        <v>163</v>
      </c>
      <c r="E8" s="91" t="s">
        <v>164</v>
      </c>
      <c r="F8" s="195" t="s">
        <v>165</v>
      </c>
      <c r="G8" s="195" t="s">
        <v>165</v>
      </c>
      <c r="H8" s="195" t="s">
        <v>28</v>
      </c>
      <c r="I8" s="195" t="s">
        <v>164</v>
      </c>
      <c r="J8" s="192" t="s">
        <v>165</v>
      </c>
      <c r="K8" s="192" t="s">
        <v>165</v>
      </c>
      <c r="L8" s="192" t="s">
        <v>28</v>
      </c>
      <c r="M8" s="192" t="s">
        <v>164</v>
      </c>
      <c r="N8" s="192" t="s">
        <v>165</v>
      </c>
      <c r="O8" s="192" t="s">
        <v>165</v>
      </c>
      <c r="P8" s="192" t="s">
        <v>28</v>
      </c>
      <c r="Q8" s="192" t="s">
        <v>164</v>
      </c>
      <c r="R8" s="192" t="s">
        <v>165</v>
      </c>
      <c r="S8" s="192" t="s">
        <v>165</v>
      </c>
      <c r="T8" s="192" t="s">
        <v>28</v>
      </c>
      <c r="U8" s="192" t="s">
        <v>164</v>
      </c>
      <c r="V8" s="192" t="s">
        <v>165</v>
      </c>
      <c r="W8" s="192" t="s">
        <v>165</v>
      </c>
      <c r="X8" s="192" t="s">
        <v>28</v>
      </c>
      <c r="Y8" s="192" t="s">
        <v>164</v>
      </c>
      <c r="Z8" s="192" t="s">
        <v>165</v>
      </c>
      <c r="AA8" s="192" t="s">
        <v>165</v>
      </c>
      <c r="AB8" s="192" t="s">
        <v>28</v>
      </c>
      <c r="AC8" s="192" t="s">
        <v>164</v>
      </c>
      <c r="AD8" s="192" t="s">
        <v>165</v>
      </c>
      <c r="AE8" s="192" t="s">
        <v>165</v>
      </c>
      <c r="AF8" s="192" t="s">
        <v>28</v>
      </c>
      <c r="AG8" s="192" t="s">
        <v>164</v>
      </c>
      <c r="AH8" s="192" t="s">
        <v>165</v>
      </c>
      <c r="AI8" s="192" t="s">
        <v>165</v>
      </c>
      <c r="AJ8" s="192" t="s">
        <v>28</v>
      </c>
      <c r="AK8" s="192" t="s">
        <v>164</v>
      </c>
      <c r="AL8" s="192" t="s">
        <v>165</v>
      </c>
      <c r="AM8" s="192" t="s">
        <v>165</v>
      </c>
      <c r="AN8" s="192" t="s">
        <v>28</v>
      </c>
      <c r="AO8" s="192" t="s">
        <v>164</v>
      </c>
      <c r="AP8" s="192" t="s">
        <v>165</v>
      </c>
      <c r="AQ8" s="192" t="s">
        <v>165</v>
      </c>
      <c r="AR8" s="192" t="s">
        <v>28</v>
      </c>
      <c r="AS8" s="192" t="s">
        <v>164</v>
      </c>
      <c r="AT8" s="192" t="s">
        <v>165</v>
      </c>
      <c r="AU8" s="192" t="s">
        <v>165</v>
      </c>
      <c r="AV8" s="192" t="s">
        <v>28</v>
      </c>
      <c r="AW8" s="192" t="s">
        <v>164</v>
      </c>
      <c r="AX8" s="192" t="s">
        <v>165</v>
      </c>
      <c r="AY8" s="192" t="s">
        <v>165</v>
      </c>
      <c r="AZ8" s="192" t="s">
        <v>28</v>
      </c>
      <c r="BA8" s="192" t="s">
        <v>164</v>
      </c>
      <c r="BB8" s="192" t="s">
        <v>165</v>
      </c>
      <c r="BC8" s="192" t="s">
        <v>165</v>
      </c>
      <c r="BD8" s="192" t="s">
        <v>28</v>
      </c>
      <c r="BE8" s="192" t="s">
        <v>164</v>
      </c>
      <c r="BF8" s="192" t="s">
        <v>165</v>
      </c>
      <c r="BG8" s="192" t="s">
        <v>165</v>
      </c>
      <c r="BH8" s="192" t="s">
        <v>28</v>
      </c>
      <c r="BI8" s="192" t="s">
        <v>164</v>
      </c>
      <c r="BJ8" s="125" t="s">
        <v>165</v>
      </c>
      <c r="BK8" s="50" t="s">
        <v>166</v>
      </c>
      <c r="BL8" s="121" t="s">
        <v>167</v>
      </c>
      <c r="BM8" s="179" t="s">
        <v>168</v>
      </c>
      <c r="BN8" s="50" t="s">
        <v>164</v>
      </c>
      <c r="BO8" s="50" t="s">
        <v>169</v>
      </c>
      <c r="BP8" s="126" t="s">
        <v>170</v>
      </c>
      <c r="BQ8" s="220" t="s">
        <v>171</v>
      </c>
      <c r="BR8" s="218" t="s">
        <v>172</v>
      </c>
      <c r="BS8" s="224" t="s">
        <v>173</v>
      </c>
    </row>
    <row r="9" spans="1:71" s="18" customFormat="1">
      <c r="A9" s="134"/>
      <c r="B9" s="92" t="str">
        <f>CONCATENATE("Exchange rate ", 'Reimbursement Request'!B15)</f>
        <v>Exchange rate CHF/EUR</v>
      </c>
      <c r="C9" s="172">
        <v>1.036081</v>
      </c>
      <c r="D9" s="141"/>
      <c r="E9" s="140"/>
      <c r="F9" s="236">
        <f>1/0.9344</f>
        <v>1.0702054794520548</v>
      </c>
      <c r="G9" s="196"/>
      <c r="H9" s="196"/>
      <c r="I9" s="197"/>
      <c r="J9" s="198">
        <f>1/0.9054</f>
        <v>1.1044842058758559</v>
      </c>
      <c r="K9" s="199"/>
      <c r="L9" s="199"/>
      <c r="M9" s="200"/>
      <c r="N9" s="198">
        <v>1</v>
      </c>
      <c r="O9" s="199"/>
      <c r="P9" s="199"/>
      <c r="Q9" s="200"/>
      <c r="R9" s="198">
        <v>1</v>
      </c>
      <c r="S9" s="199"/>
      <c r="T9" s="199"/>
      <c r="U9" s="200"/>
      <c r="V9" s="198">
        <v>1</v>
      </c>
      <c r="W9" s="199"/>
      <c r="X9" s="199"/>
      <c r="Y9" s="200"/>
      <c r="Z9" s="198">
        <v>1</v>
      </c>
      <c r="AA9" s="199"/>
      <c r="AB9" s="199"/>
      <c r="AC9" s="200"/>
      <c r="AD9" s="198">
        <v>1</v>
      </c>
      <c r="AE9" s="199"/>
      <c r="AF9" s="199"/>
      <c r="AG9" s="200"/>
      <c r="AH9" s="198">
        <v>1</v>
      </c>
      <c r="AI9" s="199"/>
      <c r="AJ9" s="199"/>
      <c r="AK9" s="200"/>
      <c r="AL9" s="198">
        <v>1</v>
      </c>
      <c r="AM9" s="199"/>
      <c r="AN9" s="199"/>
      <c r="AO9" s="200"/>
      <c r="AP9" s="198">
        <v>1</v>
      </c>
      <c r="AQ9" s="199"/>
      <c r="AR9" s="199"/>
      <c r="AS9" s="200"/>
      <c r="AT9" s="198">
        <v>1</v>
      </c>
      <c r="AU9" s="199"/>
      <c r="AV9" s="199"/>
      <c r="AW9" s="200"/>
      <c r="AX9" s="198">
        <v>1</v>
      </c>
      <c r="AY9" s="199"/>
      <c r="AZ9" s="199"/>
      <c r="BA9" s="200"/>
      <c r="BB9" s="198">
        <v>2</v>
      </c>
      <c r="BC9" s="199"/>
      <c r="BD9" s="199"/>
      <c r="BE9" s="200"/>
      <c r="BF9" s="198">
        <v>1</v>
      </c>
      <c r="BG9" s="199"/>
      <c r="BH9" s="199"/>
      <c r="BI9" s="201"/>
      <c r="BJ9" s="127"/>
      <c r="BK9" s="93"/>
      <c r="BL9" s="93"/>
      <c r="BM9" s="124"/>
      <c r="BN9" s="183"/>
      <c r="BO9" s="93"/>
      <c r="BP9" s="128"/>
      <c r="BQ9" s="219"/>
      <c r="BR9" s="219"/>
      <c r="BS9" s="225"/>
    </row>
    <row r="10" spans="1:71" s="19" customFormat="1">
      <c r="A10" s="157">
        <v>1</v>
      </c>
      <c r="B10" s="158" t="s">
        <v>174</v>
      </c>
      <c r="C10" s="51">
        <f>ROUND(SUMIFS(C$10:C$38,$A$10:$A$38,"&lt;"&amp;$A$16,$A$10:$A$38,"&gt;"&amp;$A$10),2)</f>
        <v>1542928.07</v>
      </c>
      <c r="D10" s="162">
        <v>0.85</v>
      </c>
      <c r="E10" s="130">
        <f>ROUND(C10/$C$9*D10,2)</f>
        <v>1265816.92</v>
      </c>
      <c r="F10" s="202">
        <f>SUM(F11:F15)</f>
        <v>94173.24</v>
      </c>
      <c r="G10" s="203">
        <f>ROUND(F10/$F$9,2)</f>
        <v>87995.48</v>
      </c>
      <c r="H10" s="203">
        <f>G10-I10</f>
        <v>13199.320000000007</v>
      </c>
      <c r="I10" s="203">
        <f>ROUNDUP(F10/F$9*$D10,2)</f>
        <v>74796.159999999989</v>
      </c>
      <c r="J10" s="202">
        <f>SUM(J11:J15)</f>
        <v>35020.490000000005</v>
      </c>
      <c r="K10" s="203">
        <f>ROUND(J10/J$9,2)</f>
        <v>31707.55</v>
      </c>
      <c r="L10" s="203">
        <f>K10-M10</f>
        <v>4756.1399999999994</v>
      </c>
      <c r="M10" s="203">
        <f>ROUNDDOWN(J10/J$9*$D10,2)</f>
        <v>26951.41</v>
      </c>
      <c r="N10" s="202">
        <f>SUM(N11:N15)</f>
        <v>134906.48000000001</v>
      </c>
      <c r="O10" s="203">
        <f>ROUND(N10/N$9,2)</f>
        <v>134906.48000000001</v>
      </c>
      <c r="P10" s="203">
        <f>O10-Q10</f>
        <v>20235.970000000016</v>
      </c>
      <c r="Q10" s="203">
        <f>ROUND(N10/N$9*$D10,2)</f>
        <v>114670.51</v>
      </c>
      <c r="R10" s="202">
        <f>SUMIFS(R$10:R$38,$A$10:$A$38,"&lt;"&amp;$A$16,$A$10:$A$38,"&gt;"&amp;$A$10)</f>
        <v>0</v>
      </c>
      <c r="S10" s="203">
        <f>ROUND(R10/R$9,2)</f>
        <v>0</v>
      </c>
      <c r="T10" s="203">
        <f>S10-U10</f>
        <v>0</v>
      </c>
      <c r="U10" s="203">
        <f>ROUND(R10/R$9*$D10,2)</f>
        <v>0</v>
      </c>
      <c r="V10" s="202">
        <f>SUMIFS(V$10:V$38,$A$10:$A$38,"&lt;"&amp;$A$16,$A$10:$A$38,"&gt;"&amp;$A$10)</f>
        <v>0</v>
      </c>
      <c r="W10" s="203">
        <f>ROUND(V10/V$9,2)</f>
        <v>0</v>
      </c>
      <c r="X10" s="203">
        <f>W10-Y10</f>
        <v>0</v>
      </c>
      <c r="Y10" s="203">
        <f>ROUND(V10/V$9*$D10,2)</f>
        <v>0</v>
      </c>
      <c r="Z10" s="202">
        <f>SUMIFS(Z$10:Z$38,$A$10:$A$38,"&lt;"&amp;$A$16,$A$10:$A$38,"&gt;"&amp;$A$10)</f>
        <v>0</v>
      </c>
      <c r="AA10" s="203">
        <f>ROUND(Z10/Z$9,2)</f>
        <v>0</v>
      </c>
      <c r="AB10" s="203">
        <f>AA10-AC10</f>
        <v>0</v>
      </c>
      <c r="AC10" s="203">
        <f>ROUND(Z10/Z$9*$D10,2)</f>
        <v>0</v>
      </c>
      <c r="AD10" s="202">
        <f>SUMIFS(AD$10:AD$38,$A$10:$A$38,"&lt;"&amp;$A$16,$A$10:$A$38,"&gt;"&amp;$A$10)</f>
        <v>0</v>
      </c>
      <c r="AE10" s="203">
        <f>ROUND(AD10/AD$9,2)</f>
        <v>0</v>
      </c>
      <c r="AF10" s="203">
        <f>AE10-AG10</f>
        <v>0</v>
      </c>
      <c r="AG10" s="203">
        <f>ROUND(AD10/AD$9*$D10,2)</f>
        <v>0</v>
      </c>
      <c r="AH10" s="202">
        <f>SUMIFS(AH$10:AH$38,$A$10:$A$38,"&lt;"&amp;$A$16,$A$10:$A$38,"&gt;"&amp;$A$10)</f>
        <v>0</v>
      </c>
      <c r="AI10" s="203">
        <f>ROUND(AH10/AH$9,2)</f>
        <v>0</v>
      </c>
      <c r="AJ10" s="203">
        <f>AI10-AK10</f>
        <v>0</v>
      </c>
      <c r="AK10" s="203">
        <f>ROUND(AH10/AH$9*$D10,2)</f>
        <v>0</v>
      </c>
      <c r="AL10" s="202">
        <f>SUMIFS(AL$10:AL$38,$A$10:$A$38,"&lt;"&amp;$A$16,$A$10:$A$38,"&gt;"&amp;$A$10)</f>
        <v>0</v>
      </c>
      <c r="AM10" s="203">
        <f>ROUND(AL10/AL$9,2)</f>
        <v>0</v>
      </c>
      <c r="AN10" s="203">
        <f>AM10-AO10</f>
        <v>0</v>
      </c>
      <c r="AO10" s="203">
        <f>ROUND(AL10/AL$9*$D10,2)</f>
        <v>0</v>
      </c>
      <c r="AP10" s="202">
        <f>SUMIFS(AP$10:AP$38,$A$10:$A$38,"&lt;"&amp;$A$16,$A$10:$A$38,"&gt;"&amp;$A$10)</f>
        <v>0</v>
      </c>
      <c r="AQ10" s="203">
        <f>ROUND(AP10/AP$9,2)</f>
        <v>0</v>
      </c>
      <c r="AR10" s="203">
        <f>AQ10-AS10</f>
        <v>0</v>
      </c>
      <c r="AS10" s="203">
        <f>ROUND(AP10/AP$9*$D10,2)</f>
        <v>0</v>
      </c>
      <c r="AT10" s="202">
        <f>SUMIFS(AT$10:AT$38,$A$10:$A$38,"&lt;"&amp;$A$16,$A$10:$A$38,"&gt;"&amp;$A$10)</f>
        <v>0</v>
      </c>
      <c r="AU10" s="203">
        <f>ROUND(AT10/AT$9,2)</f>
        <v>0</v>
      </c>
      <c r="AV10" s="203">
        <f>AU10-AW10</f>
        <v>0</v>
      </c>
      <c r="AW10" s="203">
        <f>ROUND(AT10/AT$9*$D10,2)</f>
        <v>0</v>
      </c>
      <c r="AX10" s="202">
        <f>SUMIFS(AX$10:AX$38,$A$10:$A$38,"&lt;"&amp;$A$16,$A$10:$A$38,"&gt;"&amp;$A$10)</f>
        <v>0</v>
      </c>
      <c r="AY10" s="203">
        <f>ROUND(AX10/AX$9,2)</f>
        <v>0</v>
      </c>
      <c r="AZ10" s="203">
        <f>AY10-BA10</f>
        <v>0</v>
      </c>
      <c r="BA10" s="203">
        <f>ROUND(AX10/AX$9*$D10,2)</f>
        <v>0</v>
      </c>
      <c r="BB10" s="202">
        <f>SUMIFS(BB$10:BB$38,$A$10:$A$38,"&lt;"&amp;$A$16,$A$10:$A$38,"&gt;"&amp;$A$10)</f>
        <v>0</v>
      </c>
      <c r="BC10" s="203">
        <f>ROUND(BB10/BB$9,2)</f>
        <v>0</v>
      </c>
      <c r="BD10" s="203">
        <f>BC10-BE10</f>
        <v>0</v>
      </c>
      <c r="BE10" s="203">
        <f>ROUND(BB10/BB$9*$D10,2)</f>
        <v>0</v>
      </c>
      <c r="BF10" s="202">
        <f>SUMIFS(BF$10:BF$38,$A$10:$A$38,"&lt;"&amp;$A$16,$A$10:$A$38,"&gt;"&amp;$A$10)</f>
        <v>0</v>
      </c>
      <c r="BG10" s="203">
        <f>ROUND(BF10/BF$9,2)</f>
        <v>0</v>
      </c>
      <c r="BH10" s="203">
        <f>BG10-BI10</f>
        <v>0</v>
      </c>
      <c r="BI10" s="203">
        <f>ROUND(BF10/BF$9*$D10,2)</f>
        <v>0</v>
      </c>
      <c r="BJ10" s="51">
        <f>SUMIFS(BJ10:BJ38,$A$10:$A$38,"&lt;"&amp;$A$16,$A$10:$A$38,"&gt;"&amp;$A$10)</f>
        <v>264100.21000000002</v>
      </c>
      <c r="BK10" s="52">
        <f t="shared" ref="BK10:BK38" si="0">BJ10/C10</f>
        <v>0.17116819321331034</v>
      </c>
      <c r="BL10" s="122">
        <f t="shared" ref="BL10:BL38" si="1">C10-BJ10</f>
        <v>1278827.8600000001</v>
      </c>
      <c r="BM10" s="180">
        <f>G10+K10+O10+S10+W10+AA10+AE10+AI10+AM10+AQ10+AU10+AY10+BC10+BG10</f>
        <v>254609.51</v>
      </c>
      <c r="BN10" s="51">
        <f>I10+M10+Q10+U10+Y10+AC10+AG10+AK10+AO10+AS10+AW10+BA10+BE10+BI10</f>
        <v>216418.08</v>
      </c>
      <c r="BO10" s="52">
        <f>BN10/E10</f>
        <v>0.17097107534318629</v>
      </c>
      <c r="BP10" s="130">
        <f>E10-BN10</f>
        <v>1049398.8399999999</v>
      </c>
      <c r="BQ10" s="227">
        <v>0</v>
      </c>
      <c r="BR10" s="227">
        <v>165732</v>
      </c>
      <c r="BS10" s="227">
        <v>883666.84</v>
      </c>
    </row>
    <row r="11" spans="1:71" s="19" customFormat="1">
      <c r="A11" s="159">
        <v>1.1000000000000001</v>
      </c>
      <c r="B11" s="160" t="s">
        <v>175</v>
      </c>
      <c r="C11" s="161">
        <v>692732</v>
      </c>
      <c r="D11" s="142"/>
      <c r="E11" s="132"/>
      <c r="F11" s="204">
        <f>46495.51+13552.55</f>
        <v>60048.06</v>
      </c>
      <c r="G11" s="205"/>
      <c r="H11" s="205"/>
      <c r="I11" s="205"/>
      <c r="J11" s="161">
        <f>20540.32+10312.69</f>
        <v>30853.010000000002</v>
      </c>
      <c r="K11" s="206"/>
      <c r="L11" s="206"/>
      <c r="M11" s="206"/>
      <c r="N11" s="161">
        <f>40140+2182.66+10857.92</f>
        <v>53180.58</v>
      </c>
      <c r="O11" s="206"/>
      <c r="P11" s="206"/>
      <c r="Q11" s="206"/>
      <c r="R11" s="204"/>
      <c r="S11" s="206"/>
      <c r="T11" s="206"/>
      <c r="U11" s="206"/>
      <c r="V11" s="204"/>
      <c r="W11" s="206"/>
      <c r="X11" s="206"/>
      <c r="Y11" s="206"/>
      <c r="Z11" s="204"/>
      <c r="AA11" s="206"/>
      <c r="AB11" s="206"/>
      <c r="AC11" s="206"/>
      <c r="AD11" s="204"/>
      <c r="AE11" s="206"/>
      <c r="AF11" s="206"/>
      <c r="AG11" s="206"/>
      <c r="AH11" s="204"/>
      <c r="AI11" s="206"/>
      <c r="AJ11" s="206"/>
      <c r="AK11" s="206"/>
      <c r="AL11" s="204"/>
      <c r="AM11" s="206"/>
      <c r="AN11" s="206"/>
      <c r="AO11" s="206"/>
      <c r="AP11" s="204"/>
      <c r="AQ11" s="206"/>
      <c r="AR11" s="206"/>
      <c r="AS11" s="206"/>
      <c r="AT11" s="204"/>
      <c r="AU11" s="206"/>
      <c r="AV11" s="206"/>
      <c r="AW11" s="206"/>
      <c r="AX11" s="204"/>
      <c r="AY11" s="206"/>
      <c r="AZ11" s="206"/>
      <c r="BA11" s="206"/>
      <c r="BB11" s="204"/>
      <c r="BC11" s="206"/>
      <c r="BD11" s="206"/>
      <c r="BE11" s="206"/>
      <c r="BF11" s="204"/>
      <c r="BG11" s="206"/>
      <c r="BH11" s="206"/>
      <c r="BI11" s="206"/>
      <c r="BJ11" s="131">
        <f>SUM(F11:BI11)</f>
        <v>144081.65000000002</v>
      </c>
      <c r="BK11" s="54">
        <f t="shared" si="0"/>
        <v>0.20799046384460371</v>
      </c>
      <c r="BL11" s="123">
        <f t="shared" si="1"/>
        <v>548650.35</v>
      </c>
      <c r="BM11" s="181"/>
      <c r="BN11" s="53"/>
      <c r="BO11" s="53"/>
      <c r="BP11" s="132"/>
      <c r="BQ11" s="222"/>
      <c r="BR11" s="53"/>
      <c r="BS11" s="132"/>
    </row>
    <row r="12" spans="1:71" s="19" customFormat="1">
      <c r="A12" s="159">
        <v>1.2</v>
      </c>
      <c r="B12" s="160" t="s">
        <v>176</v>
      </c>
      <c r="C12" s="161">
        <v>140000</v>
      </c>
      <c r="D12" s="142"/>
      <c r="E12" s="132"/>
      <c r="F12" s="204">
        <v>3253.87</v>
      </c>
      <c r="G12" s="205"/>
      <c r="H12" s="205"/>
      <c r="I12" s="205"/>
      <c r="J12" s="204">
        <v>2290.48</v>
      </c>
      <c r="K12" s="206"/>
      <c r="L12" s="206"/>
      <c r="M12" s="206"/>
      <c r="N12" s="161">
        <f>647.55+172</f>
        <v>819.55</v>
      </c>
      <c r="O12" s="206"/>
      <c r="P12" s="206"/>
      <c r="Q12" s="206"/>
      <c r="R12" s="204"/>
      <c r="S12" s="206"/>
      <c r="T12" s="206"/>
      <c r="U12" s="206"/>
      <c r="V12" s="204"/>
      <c r="W12" s="206"/>
      <c r="X12" s="206"/>
      <c r="Y12" s="206"/>
      <c r="Z12" s="204"/>
      <c r="AA12" s="206"/>
      <c r="AB12" s="206"/>
      <c r="AC12" s="206"/>
      <c r="AD12" s="204"/>
      <c r="AE12" s="206"/>
      <c r="AF12" s="206"/>
      <c r="AG12" s="206"/>
      <c r="AH12" s="204"/>
      <c r="AI12" s="206"/>
      <c r="AJ12" s="206"/>
      <c r="AK12" s="206"/>
      <c r="AL12" s="204"/>
      <c r="AM12" s="206"/>
      <c r="AN12" s="206"/>
      <c r="AO12" s="206"/>
      <c r="AP12" s="204"/>
      <c r="AQ12" s="206"/>
      <c r="AR12" s="206"/>
      <c r="AS12" s="206"/>
      <c r="AT12" s="204"/>
      <c r="AU12" s="206"/>
      <c r="AV12" s="206"/>
      <c r="AW12" s="206"/>
      <c r="AX12" s="204"/>
      <c r="AY12" s="206"/>
      <c r="AZ12" s="206"/>
      <c r="BA12" s="206"/>
      <c r="BB12" s="204"/>
      <c r="BC12" s="206"/>
      <c r="BD12" s="206"/>
      <c r="BE12" s="206"/>
      <c r="BF12" s="204"/>
      <c r="BG12" s="206"/>
      <c r="BH12" s="206"/>
      <c r="BI12" s="206"/>
      <c r="BJ12" s="131">
        <f t="shared" ref="BJ12:BJ38" si="2">SUM(F12:BI12)</f>
        <v>6363.9000000000005</v>
      </c>
      <c r="BK12" s="54">
        <f t="shared" si="0"/>
        <v>4.5456428571428578E-2</v>
      </c>
      <c r="BL12" s="123">
        <f t="shared" si="1"/>
        <v>133636.1</v>
      </c>
      <c r="BM12" s="181"/>
      <c r="BN12" s="53"/>
      <c r="BO12" s="53"/>
      <c r="BP12" s="132"/>
      <c r="BQ12" s="222"/>
      <c r="BR12" s="53"/>
      <c r="BS12" s="132"/>
    </row>
    <row r="13" spans="1:71" s="19" customFormat="1">
      <c r="A13" s="159">
        <v>1.3</v>
      </c>
      <c r="B13" s="160" t="s">
        <v>177</v>
      </c>
      <c r="C13" s="161">
        <v>543776.11</v>
      </c>
      <c r="D13" s="142"/>
      <c r="E13" s="132"/>
      <c r="F13" s="204">
        <v>0</v>
      </c>
      <c r="G13" s="205"/>
      <c r="H13" s="205"/>
      <c r="I13" s="205"/>
      <c r="J13" s="204">
        <v>0</v>
      </c>
      <c r="K13" s="206"/>
      <c r="L13" s="206"/>
      <c r="M13" s="206"/>
      <c r="N13" s="161">
        <v>79169.16</v>
      </c>
      <c r="O13" s="206"/>
      <c r="P13" s="206"/>
      <c r="Q13" s="206"/>
      <c r="R13" s="204"/>
      <c r="S13" s="206"/>
      <c r="T13" s="206"/>
      <c r="U13" s="206"/>
      <c r="V13" s="204"/>
      <c r="W13" s="206"/>
      <c r="X13" s="206"/>
      <c r="Y13" s="206"/>
      <c r="Z13" s="204"/>
      <c r="AA13" s="206"/>
      <c r="AB13" s="206"/>
      <c r="AC13" s="206"/>
      <c r="AD13" s="204"/>
      <c r="AE13" s="206"/>
      <c r="AF13" s="206"/>
      <c r="AG13" s="206"/>
      <c r="AH13" s="204"/>
      <c r="AI13" s="206"/>
      <c r="AJ13" s="206"/>
      <c r="AK13" s="206"/>
      <c r="AL13" s="204"/>
      <c r="AM13" s="206"/>
      <c r="AN13" s="206"/>
      <c r="AO13" s="206"/>
      <c r="AP13" s="204"/>
      <c r="AQ13" s="206"/>
      <c r="AR13" s="206"/>
      <c r="AS13" s="206"/>
      <c r="AT13" s="204"/>
      <c r="AU13" s="206"/>
      <c r="AV13" s="206"/>
      <c r="AW13" s="206"/>
      <c r="AX13" s="204"/>
      <c r="AY13" s="206"/>
      <c r="AZ13" s="206"/>
      <c r="BA13" s="206"/>
      <c r="BB13" s="204"/>
      <c r="BC13" s="206"/>
      <c r="BD13" s="206"/>
      <c r="BE13" s="206"/>
      <c r="BF13" s="204"/>
      <c r="BG13" s="206"/>
      <c r="BH13" s="206"/>
      <c r="BI13" s="206"/>
      <c r="BJ13" s="131">
        <f t="shared" si="2"/>
        <v>79169.16</v>
      </c>
      <c r="BK13" s="54">
        <f t="shared" si="0"/>
        <v>0.14559146410459262</v>
      </c>
      <c r="BL13" s="123">
        <f t="shared" si="1"/>
        <v>464606.94999999995</v>
      </c>
      <c r="BM13" s="181"/>
      <c r="BN13" s="53"/>
      <c r="BO13" s="53"/>
      <c r="BP13" s="132"/>
      <c r="BQ13" s="222"/>
      <c r="BR13" s="53"/>
      <c r="BS13" s="132"/>
    </row>
    <row r="14" spans="1:71" s="19" customFormat="1">
      <c r="A14" s="159">
        <v>1.4</v>
      </c>
      <c r="B14" s="160" t="s">
        <v>178</v>
      </c>
      <c r="C14" s="161">
        <v>154000.01</v>
      </c>
      <c r="D14" s="142"/>
      <c r="E14" s="132"/>
      <c r="F14" s="204">
        <v>30790.79</v>
      </c>
      <c r="G14" s="205"/>
      <c r="H14" s="205"/>
      <c r="I14" s="205"/>
      <c r="J14" s="204">
        <v>1877</v>
      </c>
      <c r="K14" s="206"/>
      <c r="L14" s="206"/>
      <c r="M14" s="206"/>
      <c r="N14" s="161">
        <v>1737.19</v>
      </c>
      <c r="O14" s="206"/>
      <c r="P14" s="206"/>
      <c r="Q14" s="206"/>
      <c r="R14" s="204"/>
      <c r="S14" s="206"/>
      <c r="T14" s="206"/>
      <c r="U14" s="206"/>
      <c r="V14" s="204"/>
      <c r="W14" s="206"/>
      <c r="X14" s="206"/>
      <c r="Y14" s="206"/>
      <c r="Z14" s="204"/>
      <c r="AA14" s="206"/>
      <c r="AB14" s="206"/>
      <c r="AC14" s="206"/>
      <c r="AD14" s="204"/>
      <c r="AE14" s="206"/>
      <c r="AF14" s="206"/>
      <c r="AG14" s="206"/>
      <c r="AH14" s="204"/>
      <c r="AI14" s="206"/>
      <c r="AJ14" s="206"/>
      <c r="AK14" s="206"/>
      <c r="AL14" s="204"/>
      <c r="AM14" s="206"/>
      <c r="AN14" s="206"/>
      <c r="AO14" s="206"/>
      <c r="AP14" s="204"/>
      <c r="AQ14" s="206"/>
      <c r="AR14" s="206"/>
      <c r="AS14" s="206"/>
      <c r="AT14" s="204"/>
      <c r="AU14" s="206"/>
      <c r="AV14" s="206"/>
      <c r="AW14" s="206"/>
      <c r="AX14" s="204"/>
      <c r="AY14" s="206"/>
      <c r="AZ14" s="206"/>
      <c r="BA14" s="206"/>
      <c r="BB14" s="204"/>
      <c r="BC14" s="206"/>
      <c r="BD14" s="206"/>
      <c r="BE14" s="206"/>
      <c r="BF14" s="204"/>
      <c r="BG14" s="206"/>
      <c r="BH14" s="206"/>
      <c r="BI14" s="206"/>
      <c r="BJ14" s="131">
        <f t="shared" si="2"/>
        <v>34404.980000000003</v>
      </c>
      <c r="BK14" s="54">
        <f t="shared" si="0"/>
        <v>0.22340894653188659</v>
      </c>
      <c r="BL14" s="123">
        <f t="shared" si="1"/>
        <v>119595.03</v>
      </c>
      <c r="BM14" s="181"/>
      <c r="BN14" s="53"/>
      <c r="BO14" s="53"/>
      <c r="BP14" s="132"/>
      <c r="BQ14" s="222"/>
      <c r="BR14" s="53"/>
      <c r="BS14" s="132"/>
    </row>
    <row r="15" spans="1:71" s="19" customFormat="1">
      <c r="A15" s="159">
        <v>1.5</v>
      </c>
      <c r="B15" s="160" t="s">
        <v>179</v>
      </c>
      <c r="C15" s="161">
        <v>12419.95</v>
      </c>
      <c r="D15" s="142"/>
      <c r="E15" s="132"/>
      <c r="F15" s="204">
        <v>80.52</v>
      </c>
      <c r="G15" s="205"/>
      <c r="H15" s="205"/>
      <c r="I15" s="205"/>
      <c r="J15" s="204">
        <v>0</v>
      </c>
      <c r="K15" s="206"/>
      <c r="L15" s="206"/>
      <c r="M15" s="206"/>
      <c r="N15" s="161">
        <v>0</v>
      </c>
      <c r="O15" s="206"/>
      <c r="P15" s="206"/>
      <c r="Q15" s="206"/>
      <c r="R15" s="204"/>
      <c r="S15" s="206"/>
      <c r="T15" s="206"/>
      <c r="U15" s="206"/>
      <c r="V15" s="204"/>
      <c r="W15" s="206"/>
      <c r="X15" s="206"/>
      <c r="Y15" s="206"/>
      <c r="Z15" s="204"/>
      <c r="AA15" s="206"/>
      <c r="AB15" s="206"/>
      <c r="AC15" s="206"/>
      <c r="AD15" s="204"/>
      <c r="AE15" s="206"/>
      <c r="AF15" s="206"/>
      <c r="AG15" s="206"/>
      <c r="AH15" s="204"/>
      <c r="AI15" s="206"/>
      <c r="AJ15" s="206"/>
      <c r="AK15" s="206"/>
      <c r="AL15" s="204"/>
      <c r="AM15" s="206"/>
      <c r="AN15" s="206"/>
      <c r="AO15" s="206"/>
      <c r="AP15" s="204"/>
      <c r="AQ15" s="206"/>
      <c r="AR15" s="206"/>
      <c r="AS15" s="206"/>
      <c r="AT15" s="204"/>
      <c r="AU15" s="206"/>
      <c r="AV15" s="206"/>
      <c r="AW15" s="206"/>
      <c r="AX15" s="204"/>
      <c r="AY15" s="206"/>
      <c r="AZ15" s="206"/>
      <c r="BA15" s="206"/>
      <c r="BB15" s="204"/>
      <c r="BC15" s="206"/>
      <c r="BD15" s="206"/>
      <c r="BE15" s="206"/>
      <c r="BF15" s="204"/>
      <c r="BG15" s="206"/>
      <c r="BH15" s="206"/>
      <c r="BI15" s="206"/>
      <c r="BJ15" s="131">
        <f t="shared" si="2"/>
        <v>80.52</v>
      </c>
      <c r="BK15" s="54">
        <f t="shared" si="0"/>
        <v>6.4831178869480142E-3</v>
      </c>
      <c r="BL15" s="123">
        <f t="shared" si="1"/>
        <v>12339.43</v>
      </c>
      <c r="BM15" s="181"/>
      <c r="BN15" s="53"/>
      <c r="BO15" s="53"/>
      <c r="BP15" s="132"/>
      <c r="BQ15" s="222"/>
      <c r="BR15" s="53"/>
      <c r="BS15" s="132"/>
    </row>
    <row r="16" spans="1:71" s="19" customFormat="1" ht="25.5">
      <c r="A16" s="157">
        <v>2</v>
      </c>
      <c r="B16" s="158" t="s">
        <v>180</v>
      </c>
      <c r="C16" s="51">
        <f>SUMIFS(C$10:C$38,$A$10:$A$38,"&lt;"&amp;$A$24,$A$10:$A$38,"&gt;"&amp;$A$16)</f>
        <v>6816349.1300000008</v>
      </c>
      <c r="D16" s="162">
        <v>0.85</v>
      </c>
      <c r="E16" s="130">
        <f>ROUND(C16/$C$9*D16,2)</f>
        <v>5592127.2199999997</v>
      </c>
      <c r="F16" s="202">
        <f>SUM(F17:F23)</f>
        <v>0</v>
      </c>
      <c r="G16" s="203">
        <f>ROUND(F16/$F$9,2)</f>
        <v>0</v>
      </c>
      <c r="H16" s="203">
        <f>G16-I16</f>
        <v>0</v>
      </c>
      <c r="I16" s="203">
        <f>ROUND(F16/F$9*$D16,2)</f>
        <v>0</v>
      </c>
      <c r="J16" s="202">
        <f>SUM(J17:J23)</f>
        <v>380998.54000000004</v>
      </c>
      <c r="K16" s="203">
        <f>ROUND(J16/J$9,2)</f>
        <v>344956.08</v>
      </c>
      <c r="L16" s="203">
        <f>K16-M16</f>
        <v>51743.420000000042</v>
      </c>
      <c r="M16" s="203">
        <f>ROUNDDOWN(J16/J$9*$D16,2)</f>
        <v>293212.65999999997</v>
      </c>
      <c r="N16" s="202">
        <f>SUM(N17:N23)</f>
        <v>459688.12</v>
      </c>
      <c r="O16" s="203">
        <f>ROUND(N16/N$9,2)</f>
        <v>459688.12</v>
      </c>
      <c r="P16" s="203">
        <f>O16-Q16</f>
        <v>68953.219999999972</v>
      </c>
      <c r="Q16" s="203">
        <f>ROUND(N16/N$9*$D16,2)</f>
        <v>390734.9</v>
      </c>
      <c r="R16" s="202">
        <f>SUMIFS(R$10:R$38,$A$10:$A$38,"&lt;"&amp;$A$24,$A$10:$A$38,"&gt;"&amp;$A$16)</f>
        <v>0</v>
      </c>
      <c r="S16" s="203">
        <f>ROUND(R16/R$9,2)</f>
        <v>0</v>
      </c>
      <c r="T16" s="203">
        <f>S16-U16</f>
        <v>0</v>
      </c>
      <c r="U16" s="203">
        <f>ROUND(R16/R$9*$D16,2)</f>
        <v>0</v>
      </c>
      <c r="V16" s="202">
        <f>SUMIFS(V$10:V$38,$A$10:$A$38,"&lt;"&amp;$A$24,$A$10:$A$38,"&gt;"&amp;$A$16)</f>
        <v>0</v>
      </c>
      <c r="W16" s="203">
        <f>ROUND(V16/V$9,2)</f>
        <v>0</v>
      </c>
      <c r="X16" s="203">
        <f>W16-Y16</f>
        <v>0</v>
      </c>
      <c r="Y16" s="203">
        <f>ROUND(V16/V$9*$D16,2)</f>
        <v>0</v>
      </c>
      <c r="Z16" s="202">
        <f>SUMIFS(Z$10:Z$38,$A$10:$A$38,"&lt;"&amp;$A$24,$A$10:$A$38,"&gt;"&amp;$A$16)</f>
        <v>0</v>
      </c>
      <c r="AA16" s="203">
        <f>ROUND(Z16/Z$9,2)</f>
        <v>0</v>
      </c>
      <c r="AB16" s="203">
        <f>AA16-AC16</f>
        <v>0</v>
      </c>
      <c r="AC16" s="203">
        <f>ROUND(Z16/Z$9*$D16,2)</f>
        <v>0</v>
      </c>
      <c r="AD16" s="202">
        <f>SUMIFS(AD$10:AD$38,$A$10:$A$38,"&lt;"&amp;$A$24,$A$10:$A$38,"&gt;"&amp;$A$16)</f>
        <v>0</v>
      </c>
      <c r="AE16" s="203">
        <f>ROUND(AD16/AD$9,2)</f>
        <v>0</v>
      </c>
      <c r="AF16" s="203">
        <f>AE16-AG16</f>
        <v>0</v>
      </c>
      <c r="AG16" s="203">
        <f>ROUND(AD16/AD$9*$D16,2)</f>
        <v>0</v>
      </c>
      <c r="AH16" s="202">
        <f>SUMIFS(AH$10:AH$38,$A$10:$A$38,"&lt;"&amp;$A$24,$A$10:$A$38,"&gt;"&amp;$A$16)</f>
        <v>0</v>
      </c>
      <c r="AI16" s="203">
        <f>ROUND(AH16/AH$9,2)</f>
        <v>0</v>
      </c>
      <c r="AJ16" s="203">
        <f>AI16-AK16</f>
        <v>0</v>
      </c>
      <c r="AK16" s="203">
        <f>ROUND(AH16/AH$9*$D16,2)</f>
        <v>0</v>
      </c>
      <c r="AL16" s="202">
        <f>SUMIFS(AL$10:AL$38,$A$10:$A$38,"&lt;"&amp;$A$24,$A$10:$A$38,"&gt;"&amp;$A$16)</f>
        <v>0</v>
      </c>
      <c r="AM16" s="203">
        <f>ROUND(AL16/AL$9,2)</f>
        <v>0</v>
      </c>
      <c r="AN16" s="203">
        <f>AM16-AO16</f>
        <v>0</v>
      </c>
      <c r="AO16" s="203">
        <f>ROUND(AL16/AL$9*$D16,2)</f>
        <v>0</v>
      </c>
      <c r="AP16" s="202">
        <f>SUMIFS(AP$10:AP$38,$A$10:$A$38,"&lt;"&amp;$A$24,$A$10:$A$38,"&gt;"&amp;$A$16)</f>
        <v>0</v>
      </c>
      <c r="AQ16" s="203">
        <f>ROUND(AP16/AP$9,2)</f>
        <v>0</v>
      </c>
      <c r="AR16" s="203">
        <f>AQ16-AS16</f>
        <v>0</v>
      </c>
      <c r="AS16" s="203">
        <f>ROUND(AP16/AP$9*$D16,2)</f>
        <v>0</v>
      </c>
      <c r="AT16" s="202">
        <f>SUMIFS(AT$10:AT$38,$A$10:$A$38,"&lt;"&amp;$A$24,$A$10:$A$38,"&gt;"&amp;$A$16)</f>
        <v>0</v>
      </c>
      <c r="AU16" s="203">
        <f>ROUND(AT16/AT$9,2)</f>
        <v>0</v>
      </c>
      <c r="AV16" s="203">
        <f>AU16-AW16</f>
        <v>0</v>
      </c>
      <c r="AW16" s="203">
        <f>ROUND(AT16/AT$9*$D16,2)</f>
        <v>0</v>
      </c>
      <c r="AX16" s="202">
        <f>SUMIFS(AX$10:AX$38,$A$10:$A$38,"&lt;"&amp;$A$24,$A$10:$A$38,"&gt;"&amp;$A$16)</f>
        <v>0</v>
      </c>
      <c r="AY16" s="203">
        <f>ROUND(AX16/AX$9,2)</f>
        <v>0</v>
      </c>
      <c r="AZ16" s="203">
        <f>AY16-BA16</f>
        <v>0</v>
      </c>
      <c r="BA16" s="203">
        <f>ROUND(AX16/AX$9*$D16,2)</f>
        <v>0</v>
      </c>
      <c r="BB16" s="202">
        <f>SUMIFS(BB$10:BB$38,$A$10:$A$38,"&lt;"&amp;$A$24,$A$10:$A$38,"&gt;"&amp;$A$16)</f>
        <v>0</v>
      </c>
      <c r="BC16" s="203">
        <f>ROUND(BB16/BB$9,2)</f>
        <v>0</v>
      </c>
      <c r="BD16" s="203">
        <f>BC16-BE16</f>
        <v>0</v>
      </c>
      <c r="BE16" s="203">
        <f>ROUND(BB16/BB$9*$D16,2)</f>
        <v>0</v>
      </c>
      <c r="BF16" s="202">
        <f>SUMIFS(BF$10:BF$38,$A$10:$A$38,"&lt;"&amp;$A$24,$A$10:$A$38,"&gt;"&amp;$A$16)</f>
        <v>0</v>
      </c>
      <c r="BG16" s="203">
        <f>ROUND(BF16/BF$9,2)</f>
        <v>0</v>
      </c>
      <c r="BH16" s="203">
        <f>BG16-BI16</f>
        <v>0</v>
      </c>
      <c r="BI16" s="203">
        <f>ROUND(BF16/BF$9*$D16,2)</f>
        <v>0</v>
      </c>
      <c r="BJ16" s="129">
        <f>SUM(BJ17:BJ23)</f>
        <v>840686.65999999992</v>
      </c>
      <c r="BK16" s="52">
        <f t="shared" si="0"/>
        <v>0.12333386156820871</v>
      </c>
      <c r="BL16" s="122">
        <f t="shared" si="1"/>
        <v>5975662.4700000007</v>
      </c>
      <c r="BM16" s="180">
        <f>G16+K16+O16+S16+W16+AA16+AE16+AI16+AM16+AQ16+AU16+AY16+BC16+BG16</f>
        <v>804644.2</v>
      </c>
      <c r="BN16" s="51">
        <f>I16+M16+Q16+U16+Y16+AC16+AG16+AK16+AO16+AS16+AW16+BA16+BE16+BI16</f>
        <v>683947.56</v>
      </c>
      <c r="BO16" s="52">
        <f>BN16/E16</f>
        <v>0.12230543639169927</v>
      </c>
      <c r="BP16" s="130">
        <f>E16-BN16</f>
        <v>4908179.66</v>
      </c>
      <c r="BQ16" s="227">
        <v>0</v>
      </c>
      <c r="BR16" s="227">
        <v>1274187</v>
      </c>
      <c r="BS16" s="227">
        <v>3633992.66</v>
      </c>
    </row>
    <row r="17" spans="1:104" s="19" customFormat="1">
      <c r="A17" s="159">
        <v>2.1</v>
      </c>
      <c r="B17" s="160" t="s">
        <v>181</v>
      </c>
      <c r="C17" s="161">
        <v>148389.03</v>
      </c>
      <c r="D17" s="142" t="s">
        <v>182</v>
      </c>
      <c r="E17" s="132"/>
      <c r="F17" s="204">
        <v>0</v>
      </c>
      <c r="G17" s="205"/>
      <c r="H17" s="205"/>
      <c r="I17" s="205"/>
      <c r="J17" s="204">
        <v>6234.59</v>
      </c>
      <c r="K17" s="206"/>
      <c r="L17" s="206"/>
      <c r="M17" s="206"/>
      <c r="N17" s="204">
        <v>2007</v>
      </c>
      <c r="O17" s="206"/>
      <c r="P17" s="206"/>
      <c r="Q17" s="206"/>
      <c r="R17" s="204"/>
      <c r="S17" s="206"/>
      <c r="T17" s="206"/>
      <c r="U17" s="206"/>
      <c r="V17" s="204"/>
      <c r="W17" s="206"/>
      <c r="X17" s="206"/>
      <c r="Y17" s="206"/>
      <c r="Z17" s="204"/>
      <c r="AA17" s="206"/>
      <c r="AB17" s="206"/>
      <c r="AC17" s="206"/>
      <c r="AD17" s="204"/>
      <c r="AE17" s="206"/>
      <c r="AF17" s="206"/>
      <c r="AG17" s="206"/>
      <c r="AH17" s="204"/>
      <c r="AI17" s="206"/>
      <c r="AJ17" s="206"/>
      <c r="AK17" s="206"/>
      <c r="AL17" s="204"/>
      <c r="AM17" s="206"/>
      <c r="AN17" s="206"/>
      <c r="AO17" s="206"/>
      <c r="AP17" s="204"/>
      <c r="AQ17" s="206"/>
      <c r="AR17" s="206"/>
      <c r="AS17" s="206"/>
      <c r="AT17" s="204"/>
      <c r="AU17" s="206"/>
      <c r="AV17" s="206"/>
      <c r="AW17" s="206"/>
      <c r="AX17" s="204"/>
      <c r="AY17" s="206"/>
      <c r="AZ17" s="206"/>
      <c r="BA17" s="206"/>
      <c r="BB17" s="204"/>
      <c r="BC17" s="206"/>
      <c r="BD17" s="206"/>
      <c r="BE17" s="206"/>
      <c r="BF17" s="204"/>
      <c r="BG17" s="206"/>
      <c r="BH17" s="206"/>
      <c r="BI17" s="206"/>
      <c r="BJ17" s="131">
        <f t="shared" si="2"/>
        <v>8241.59</v>
      </c>
      <c r="BK17" s="54">
        <f t="shared" si="0"/>
        <v>5.5540426404835995E-2</v>
      </c>
      <c r="BL17" s="123">
        <f t="shared" si="1"/>
        <v>140147.44</v>
      </c>
      <c r="BM17" s="181"/>
      <c r="BN17" s="53"/>
      <c r="BO17" s="53"/>
      <c r="BP17" s="132"/>
      <c r="BQ17" s="222"/>
      <c r="BR17" s="222"/>
      <c r="BS17" s="222"/>
    </row>
    <row r="18" spans="1:104" s="19" customFormat="1">
      <c r="A18" s="159">
        <v>2.2000000000000002</v>
      </c>
      <c r="B18" s="160" t="s">
        <v>183</v>
      </c>
      <c r="C18" s="161">
        <v>445929.38</v>
      </c>
      <c r="D18" s="142"/>
      <c r="E18" s="132"/>
      <c r="F18" s="204">
        <v>0</v>
      </c>
      <c r="G18" s="205"/>
      <c r="H18" s="205"/>
      <c r="I18" s="205"/>
      <c r="J18" s="204">
        <f>436.52+2675.51+3035.84+6153.23+2934.41+9689.76</f>
        <v>24925.27</v>
      </c>
      <c r="K18" s="206"/>
      <c r="L18" s="206"/>
      <c r="M18" s="206"/>
      <c r="N18" s="204">
        <f>140.51+1962.57+4892.16+6111.02+8609.78+8357.07</f>
        <v>30073.11</v>
      </c>
      <c r="O18" s="206"/>
      <c r="P18" s="206"/>
      <c r="Q18" s="206"/>
      <c r="R18" s="204"/>
      <c r="S18" s="206"/>
      <c r="T18" s="206"/>
      <c r="U18" s="206"/>
      <c r="V18" s="204"/>
      <c r="W18" s="206"/>
      <c r="X18" s="206"/>
      <c r="Y18" s="206"/>
      <c r="Z18" s="204"/>
      <c r="AA18" s="206"/>
      <c r="AB18" s="206"/>
      <c r="AC18" s="206"/>
      <c r="AD18" s="204"/>
      <c r="AE18" s="206"/>
      <c r="AF18" s="206"/>
      <c r="AG18" s="206"/>
      <c r="AH18" s="204"/>
      <c r="AI18" s="206"/>
      <c r="AJ18" s="206"/>
      <c r="AK18" s="206"/>
      <c r="AL18" s="204"/>
      <c r="AM18" s="206"/>
      <c r="AN18" s="206"/>
      <c r="AO18" s="206"/>
      <c r="AP18" s="204"/>
      <c r="AQ18" s="206"/>
      <c r="AR18" s="206"/>
      <c r="AS18" s="206"/>
      <c r="AT18" s="204"/>
      <c r="AU18" s="206"/>
      <c r="AV18" s="206"/>
      <c r="AW18" s="206"/>
      <c r="AX18" s="204"/>
      <c r="AY18" s="206"/>
      <c r="AZ18" s="206"/>
      <c r="BA18" s="206"/>
      <c r="BB18" s="204"/>
      <c r="BC18" s="206"/>
      <c r="BD18" s="206"/>
      <c r="BE18" s="206"/>
      <c r="BF18" s="204"/>
      <c r="BG18" s="206"/>
      <c r="BH18" s="206"/>
      <c r="BI18" s="206"/>
      <c r="BJ18" s="131">
        <f t="shared" si="2"/>
        <v>54998.380000000005</v>
      </c>
      <c r="BK18" s="54">
        <f t="shared" si="0"/>
        <v>0.12333428221302666</v>
      </c>
      <c r="BL18" s="123">
        <f t="shared" si="1"/>
        <v>390931</v>
      </c>
      <c r="BM18" s="181"/>
      <c r="BN18" s="53"/>
      <c r="BO18" s="53"/>
      <c r="BP18" s="132"/>
      <c r="BQ18" s="222"/>
      <c r="BR18" s="222"/>
      <c r="BS18" s="222"/>
    </row>
    <row r="19" spans="1:104" s="231" customFormat="1" ht="25.5">
      <c r="A19" s="159">
        <v>2.2999999999999998</v>
      </c>
      <c r="B19" s="160" t="s">
        <v>184</v>
      </c>
      <c r="C19" s="161">
        <v>1446121.03</v>
      </c>
      <c r="D19" s="142"/>
      <c r="E19" s="142"/>
      <c r="F19" s="204">
        <v>0</v>
      </c>
      <c r="G19" s="205"/>
      <c r="H19" s="205"/>
      <c r="I19" s="205"/>
      <c r="J19" s="204">
        <v>38221.51</v>
      </c>
      <c r="K19" s="206"/>
      <c r="L19" s="206"/>
      <c r="M19" s="206"/>
      <c r="N19" s="204">
        <v>28036.2</v>
      </c>
      <c r="O19" s="206"/>
      <c r="P19" s="206"/>
      <c r="Q19" s="206"/>
      <c r="R19" s="211"/>
      <c r="S19" s="230"/>
      <c r="T19" s="230"/>
      <c r="U19" s="230"/>
      <c r="V19" s="211"/>
      <c r="W19" s="230"/>
      <c r="X19" s="230"/>
      <c r="Y19" s="230"/>
      <c r="Z19" s="211"/>
      <c r="AA19" s="230"/>
      <c r="AB19" s="230"/>
      <c r="AC19" s="230"/>
      <c r="AD19" s="211"/>
      <c r="AE19" s="230"/>
      <c r="AF19" s="230"/>
      <c r="AG19" s="230"/>
      <c r="AH19" s="211"/>
      <c r="AI19" s="230"/>
      <c r="AJ19" s="230"/>
      <c r="AK19" s="230"/>
      <c r="AL19" s="211"/>
      <c r="AM19" s="230"/>
      <c r="AN19" s="230"/>
      <c r="AO19" s="230"/>
      <c r="AP19" s="211"/>
      <c r="AQ19" s="230"/>
      <c r="AR19" s="230"/>
      <c r="AS19" s="230"/>
      <c r="AT19" s="211"/>
      <c r="AU19" s="230"/>
      <c r="AV19" s="230"/>
      <c r="AW19" s="230"/>
      <c r="AX19" s="211"/>
      <c r="AY19" s="230"/>
      <c r="AZ19" s="230"/>
      <c r="BA19" s="230"/>
      <c r="BB19" s="211"/>
      <c r="BC19" s="230"/>
      <c r="BD19" s="230"/>
      <c r="BE19" s="230"/>
      <c r="BF19" s="211"/>
      <c r="BG19" s="230"/>
      <c r="BH19" s="230"/>
      <c r="BI19" s="230"/>
      <c r="BJ19" s="131">
        <f>SUM(F19:BI19)</f>
        <v>66257.710000000006</v>
      </c>
      <c r="BK19" s="54">
        <f t="shared" si="0"/>
        <v>4.5817541288366438E-2</v>
      </c>
      <c r="BL19" s="123">
        <f t="shared" si="1"/>
        <v>1379863.32</v>
      </c>
      <c r="BM19" s="181"/>
      <c r="BN19" s="53"/>
      <c r="BO19" s="53"/>
      <c r="BP19" s="132"/>
      <c r="BQ19" s="222"/>
      <c r="BR19" s="222"/>
      <c r="BS19" s="222"/>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row>
    <row r="20" spans="1:104" s="231" customFormat="1" ht="25.5">
      <c r="A20" s="159">
        <v>2.4</v>
      </c>
      <c r="B20" s="160" t="s">
        <v>185</v>
      </c>
      <c r="C20" s="161">
        <v>910648.12</v>
      </c>
      <c r="D20" s="142"/>
      <c r="E20" s="142"/>
      <c r="F20" s="204">
        <v>0</v>
      </c>
      <c r="G20" s="205"/>
      <c r="H20" s="205"/>
      <c r="I20" s="205"/>
      <c r="J20" s="204">
        <v>43369.04</v>
      </c>
      <c r="K20" s="206"/>
      <c r="L20" s="206"/>
      <c r="M20" s="206"/>
      <c r="N20" s="204">
        <v>69887.73</v>
      </c>
      <c r="O20" s="206"/>
      <c r="P20" s="206"/>
      <c r="Q20" s="206"/>
      <c r="R20" s="211"/>
      <c r="S20" s="230"/>
      <c r="T20" s="230"/>
      <c r="U20" s="230"/>
      <c r="V20" s="211"/>
      <c r="W20" s="230"/>
      <c r="X20" s="230"/>
      <c r="Y20" s="230"/>
      <c r="Z20" s="211"/>
      <c r="AA20" s="230"/>
      <c r="AB20" s="230"/>
      <c r="AC20" s="230"/>
      <c r="AD20" s="211"/>
      <c r="AE20" s="230"/>
      <c r="AF20" s="230"/>
      <c r="AG20" s="230"/>
      <c r="AH20" s="211"/>
      <c r="AI20" s="230"/>
      <c r="AJ20" s="230"/>
      <c r="AK20" s="230"/>
      <c r="AL20" s="211"/>
      <c r="AM20" s="230"/>
      <c r="AN20" s="230"/>
      <c r="AO20" s="230"/>
      <c r="AP20" s="211"/>
      <c r="AQ20" s="230"/>
      <c r="AR20" s="230"/>
      <c r="AS20" s="230"/>
      <c r="AT20" s="211"/>
      <c r="AU20" s="230"/>
      <c r="AV20" s="230"/>
      <c r="AW20" s="230"/>
      <c r="AX20" s="211"/>
      <c r="AY20" s="230"/>
      <c r="AZ20" s="230"/>
      <c r="BA20" s="230"/>
      <c r="BB20" s="211"/>
      <c r="BC20" s="230"/>
      <c r="BD20" s="230"/>
      <c r="BE20" s="230"/>
      <c r="BF20" s="211"/>
      <c r="BG20" s="230"/>
      <c r="BH20" s="230"/>
      <c r="BI20" s="230"/>
      <c r="BJ20" s="131">
        <f>SUM(F20:BI20)</f>
        <v>113256.76999999999</v>
      </c>
      <c r="BK20" s="54">
        <f>BJ20/C20</f>
        <v>0.12436941065666504</v>
      </c>
      <c r="BL20" s="123">
        <f>C20-BJ20</f>
        <v>797391.35</v>
      </c>
      <c r="BM20" s="181"/>
      <c r="BN20" s="53"/>
      <c r="BO20" s="53"/>
      <c r="BP20" s="132"/>
      <c r="BQ20" s="222"/>
      <c r="BR20" s="222"/>
      <c r="BS20" s="222"/>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row>
    <row r="21" spans="1:104" s="231" customFormat="1" ht="25.5">
      <c r="A21" s="159">
        <v>2.5</v>
      </c>
      <c r="B21" s="160" t="s">
        <v>186</v>
      </c>
      <c r="C21" s="161">
        <v>870453.1</v>
      </c>
      <c r="D21" s="142"/>
      <c r="E21" s="142"/>
      <c r="F21" s="204">
        <v>0</v>
      </c>
      <c r="G21" s="205"/>
      <c r="H21" s="205"/>
      <c r="I21" s="205"/>
      <c r="J21" s="204">
        <v>87903.15</v>
      </c>
      <c r="K21" s="206"/>
      <c r="L21" s="206"/>
      <c r="M21" s="206"/>
      <c r="N21" s="204">
        <v>87299.72</v>
      </c>
      <c r="O21" s="206"/>
      <c r="P21" s="206"/>
      <c r="Q21" s="206"/>
      <c r="R21" s="211"/>
      <c r="S21" s="230"/>
      <c r="T21" s="230"/>
      <c r="U21" s="230"/>
      <c r="V21" s="211"/>
      <c r="W21" s="230"/>
      <c r="X21" s="230"/>
      <c r="Y21" s="230"/>
      <c r="Z21" s="211"/>
      <c r="AA21" s="230"/>
      <c r="AB21" s="230"/>
      <c r="AC21" s="230"/>
      <c r="AD21" s="211"/>
      <c r="AE21" s="230"/>
      <c r="AF21" s="230"/>
      <c r="AG21" s="230"/>
      <c r="AH21" s="211"/>
      <c r="AI21" s="230"/>
      <c r="AJ21" s="230"/>
      <c r="AK21" s="230"/>
      <c r="AL21" s="211"/>
      <c r="AM21" s="230"/>
      <c r="AN21" s="230"/>
      <c r="AO21" s="230"/>
      <c r="AP21" s="211"/>
      <c r="AQ21" s="230"/>
      <c r="AR21" s="230"/>
      <c r="AS21" s="230"/>
      <c r="AT21" s="211"/>
      <c r="AU21" s="230"/>
      <c r="AV21" s="230"/>
      <c r="AW21" s="230"/>
      <c r="AX21" s="211"/>
      <c r="AY21" s="230"/>
      <c r="AZ21" s="230"/>
      <c r="BA21" s="230"/>
      <c r="BB21" s="211"/>
      <c r="BC21" s="230"/>
      <c r="BD21" s="230"/>
      <c r="BE21" s="230"/>
      <c r="BF21" s="211"/>
      <c r="BG21" s="230"/>
      <c r="BH21" s="230"/>
      <c r="BI21" s="230"/>
      <c r="BJ21" s="131">
        <f t="shared" ref="BJ21:BJ22" si="3">SUM(F21:BI21)</f>
        <v>175202.87</v>
      </c>
      <c r="BK21" s="54">
        <f t="shared" ref="BK21:BK22" si="4">BJ21/C21</f>
        <v>0.2012777828007046</v>
      </c>
      <c r="BL21" s="123">
        <f t="shared" ref="BL21:BL22" si="5">C21-BJ21</f>
        <v>695250.23</v>
      </c>
      <c r="BM21" s="181"/>
      <c r="BN21" s="53"/>
      <c r="BO21" s="53"/>
      <c r="BP21" s="132"/>
      <c r="BQ21" s="222"/>
      <c r="BR21" s="222"/>
      <c r="BS21" s="222"/>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row>
    <row r="22" spans="1:104" s="231" customFormat="1" ht="25.5">
      <c r="A22" s="159">
        <v>2.6</v>
      </c>
      <c r="B22" s="160" t="s">
        <v>187</v>
      </c>
      <c r="C22" s="161">
        <v>2023214.4</v>
      </c>
      <c r="D22" s="142"/>
      <c r="E22" s="142"/>
      <c r="F22" s="204">
        <v>0</v>
      </c>
      <c r="G22" s="205"/>
      <c r="H22" s="205"/>
      <c r="I22" s="205"/>
      <c r="J22" s="204">
        <v>41920.04</v>
      </c>
      <c r="K22" s="206"/>
      <c r="L22" s="206"/>
      <c r="M22" s="206"/>
      <c r="N22" s="204">
        <v>122996.83</v>
      </c>
      <c r="O22" s="206"/>
      <c r="P22" s="206"/>
      <c r="Q22" s="206"/>
      <c r="R22" s="211"/>
      <c r="S22" s="230"/>
      <c r="T22" s="230"/>
      <c r="U22" s="230"/>
      <c r="V22" s="211"/>
      <c r="W22" s="230"/>
      <c r="X22" s="230"/>
      <c r="Y22" s="230"/>
      <c r="Z22" s="211"/>
      <c r="AA22" s="230"/>
      <c r="AB22" s="230"/>
      <c r="AC22" s="230"/>
      <c r="AD22" s="211"/>
      <c r="AE22" s="230"/>
      <c r="AF22" s="230"/>
      <c r="AG22" s="230"/>
      <c r="AH22" s="211"/>
      <c r="AI22" s="230"/>
      <c r="AJ22" s="230"/>
      <c r="AK22" s="230"/>
      <c r="AL22" s="211"/>
      <c r="AM22" s="230"/>
      <c r="AN22" s="230"/>
      <c r="AO22" s="230"/>
      <c r="AP22" s="211"/>
      <c r="AQ22" s="230"/>
      <c r="AR22" s="230"/>
      <c r="AS22" s="230"/>
      <c r="AT22" s="211"/>
      <c r="AU22" s="230"/>
      <c r="AV22" s="230"/>
      <c r="AW22" s="230"/>
      <c r="AX22" s="211"/>
      <c r="AY22" s="230"/>
      <c r="AZ22" s="230"/>
      <c r="BA22" s="230"/>
      <c r="BB22" s="211"/>
      <c r="BC22" s="230"/>
      <c r="BD22" s="230"/>
      <c r="BE22" s="230"/>
      <c r="BF22" s="211"/>
      <c r="BG22" s="230"/>
      <c r="BH22" s="230"/>
      <c r="BI22" s="230"/>
      <c r="BJ22" s="131">
        <f t="shared" si="3"/>
        <v>164916.87</v>
      </c>
      <c r="BK22" s="54">
        <f t="shared" si="4"/>
        <v>8.1512305369119561E-2</v>
      </c>
      <c r="BL22" s="123">
        <f t="shared" si="5"/>
        <v>1858297.5299999998</v>
      </c>
      <c r="BM22" s="181"/>
      <c r="BN22" s="53"/>
      <c r="BO22" s="53"/>
      <c r="BP22" s="132"/>
      <c r="BQ22" s="222"/>
      <c r="BR22" s="222"/>
      <c r="BS22" s="222"/>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row>
    <row r="23" spans="1:104" s="19" customFormat="1" ht="25.5">
      <c r="A23" s="159">
        <v>2.7</v>
      </c>
      <c r="B23" s="160" t="s">
        <v>188</v>
      </c>
      <c r="C23" s="161">
        <v>971594.07</v>
      </c>
      <c r="D23" s="142"/>
      <c r="E23" s="132"/>
      <c r="F23" s="204">
        <v>0</v>
      </c>
      <c r="G23" s="205"/>
      <c r="H23" s="205"/>
      <c r="I23" s="205"/>
      <c r="J23" s="204">
        <v>138424.94</v>
      </c>
      <c r="K23" s="206"/>
      <c r="L23" s="206"/>
      <c r="M23" s="206"/>
      <c r="N23" s="204">
        <v>119387.53</v>
      </c>
      <c r="O23" s="206"/>
      <c r="P23" s="206"/>
      <c r="Q23" s="206"/>
      <c r="R23" s="204"/>
      <c r="S23" s="206"/>
      <c r="T23" s="206"/>
      <c r="U23" s="206"/>
      <c r="V23" s="204"/>
      <c r="W23" s="206"/>
      <c r="X23" s="206"/>
      <c r="Y23" s="206"/>
      <c r="Z23" s="204"/>
      <c r="AA23" s="206"/>
      <c r="AB23" s="206"/>
      <c r="AC23" s="206"/>
      <c r="AD23" s="204"/>
      <c r="AE23" s="206"/>
      <c r="AF23" s="206"/>
      <c r="AG23" s="206"/>
      <c r="AH23" s="204"/>
      <c r="AI23" s="206"/>
      <c r="AJ23" s="206"/>
      <c r="AK23" s="206"/>
      <c r="AL23" s="204"/>
      <c r="AM23" s="206"/>
      <c r="AN23" s="206"/>
      <c r="AO23" s="206"/>
      <c r="AP23" s="204"/>
      <c r="AQ23" s="206"/>
      <c r="AR23" s="206"/>
      <c r="AS23" s="206"/>
      <c r="AT23" s="204"/>
      <c r="AU23" s="206"/>
      <c r="AV23" s="206"/>
      <c r="AW23" s="206"/>
      <c r="AX23" s="204"/>
      <c r="AY23" s="206"/>
      <c r="AZ23" s="206"/>
      <c r="BA23" s="206"/>
      <c r="BB23" s="204"/>
      <c r="BC23" s="206"/>
      <c r="BD23" s="206"/>
      <c r="BE23" s="206"/>
      <c r="BF23" s="204"/>
      <c r="BG23" s="206"/>
      <c r="BH23" s="206"/>
      <c r="BI23" s="206"/>
      <c r="BJ23" s="131">
        <f t="shared" si="2"/>
        <v>257812.47</v>
      </c>
      <c r="BK23" s="54">
        <f t="shared" si="0"/>
        <v>0.26534998304384466</v>
      </c>
      <c r="BL23" s="123">
        <f t="shared" si="1"/>
        <v>713781.6</v>
      </c>
      <c r="BM23" s="181"/>
      <c r="BN23" s="53"/>
      <c r="BO23" s="53"/>
      <c r="BP23" s="132"/>
      <c r="BQ23" s="222"/>
      <c r="BR23" s="222"/>
      <c r="BS23" s="222"/>
    </row>
    <row r="24" spans="1:104" s="19" customFormat="1" ht="25.5">
      <c r="A24" s="157">
        <v>3</v>
      </c>
      <c r="B24" s="158" t="s">
        <v>189</v>
      </c>
      <c r="C24" s="51">
        <f>SUMIFS(C$10:C$38,$A$10:$A$38,"&lt;"&amp;$A$29,$A$10:$A$38,"&gt;"&amp;$A$24)</f>
        <v>6564705.0024000006</v>
      </c>
      <c r="D24" s="162">
        <v>0.85</v>
      </c>
      <c r="E24" s="130">
        <f>ROUND(C24/$C$9*D24,2)</f>
        <v>5385678.5800000001</v>
      </c>
      <c r="F24" s="202">
        <f>SUM(F25:F28)</f>
        <v>22798.42</v>
      </c>
      <c r="G24" s="203">
        <f>ROUND(F24/$F$9,2)</f>
        <v>21302.84</v>
      </c>
      <c r="H24" s="203">
        <f>G24-I24</f>
        <v>3195.4200000000019</v>
      </c>
      <c r="I24" s="203">
        <f>ROUND(F24/F$9*$D24,2)</f>
        <v>18107.419999999998</v>
      </c>
      <c r="J24" s="202">
        <f>SUM(J25:J28)</f>
        <v>265650.57</v>
      </c>
      <c r="K24" s="203">
        <f>ROUND(J24/J$9,2)</f>
        <v>240520.03</v>
      </c>
      <c r="L24" s="203">
        <f>K24-M24</f>
        <v>36078.010000000009</v>
      </c>
      <c r="M24" s="203">
        <f>ROUND(J24/J$9*$D24,2)</f>
        <v>204442.02</v>
      </c>
      <c r="N24" s="202">
        <f>SUM(N25:N28)</f>
        <v>268730.23999999999</v>
      </c>
      <c r="O24" s="203">
        <f>ROUND(N24/N$9,2)</f>
        <v>268730.23999999999</v>
      </c>
      <c r="P24" s="203">
        <f>O24-Q24</f>
        <v>40309.539999999979</v>
      </c>
      <c r="Q24" s="203">
        <f>ROUND(N24/N$9*$D24,2)</f>
        <v>228420.7</v>
      </c>
      <c r="R24" s="202">
        <f>SUMIFS(R$10:R$38,$A$10:$A$38,"&lt;"&amp;$A$29,$A$10:$A$38,"&gt;"&amp;$A$24)</f>
        <v>0</v>
      </c>
      <c r="S24" s="203">
        <f>ROUND(R24/R$9,2)</f>
        <v>0</v>
      </c>
      <c r="T24" s="203">
        <f>S24-U24</f>
        <v>0</v>
      </c>
      <c r="U24" s="203">
        <f>ROUND(R24/R$9*$D24,2)</f>
        <v>0</v>
      </c>
      <c r="V24" s="202">
        <f>SUMIFS(V$10:V$38,$A$10:$A$38,"&lt;"&amp;$A$29,$A$10:$A$38,"&gt;"&amp;$A$24)</f>
        <v>0</v>
      </c>
      <c r="W24" s="203">
        <f>ROUND(V24/V$9,2)</f>
        <v>0</v>
      </c>
      <c r="X24" s="203">
        <f>W24-Y24</f>
        <v>0</v>
      </c>
      <c r="Y24" s="203">
        <f>ROUND(V24/V$9*$D24,2)</f>
        <v>0</v>
      </c>
      <c r="Z24" s="202">
        <f>SUMIFS(Z$10:Z$38,$A$10:$A$38,"&lt;"&amp;$A$29,$A$10:$A$38,"&gt;"&amp;$A$24)</f>
        <v>0</v>
      </c>
      <c r="AA24" s="203">
        <f>ROUND(Z24/Z$9,2)</f>
        <v>0</v>
      </c>
      <c r="AB24" s="203">
        <f>AA24-AC24</f>
        <v>0</v>
      </c>
      <c r="AC24" s="203">
        <f>ROUND(Z24/Z$9*$D24,2)</f>
        <v>0</v>
      </c>
      <c r="AD24" s="202">
        <f>SUMIFS(AD$10:AD$38,$A$10:$A$38,"&lt;"&amp;$A$29,$A$10:$A$38,"&gt;"&amp;$A$24)</f>
        <v>0</v>
      </c>
      <c r="AE24" s="203">
        <f>ROUND(AD24/AD$9,2)</f>
        <v>0</v>
      </c>
      <c r="AF24" s="203">
        <f>AE24-AG24</f>
        <v>0</v>
      </c>
      <c r="AG24" s="203">
        <f>ROUND(AD24/AD$9*$D24,2)</f>
        <v>0</v>
      </c>
      <c r="AH24" s="202">
        <f>SUMIFS(AH$10:AH$38,$A$10:$A$38,"&lt;"&amp;$A$29,$A$10:$A$38,"&gt;"&amp;$A$24)</f>
        <v>0</v>
      </c>
      <c r="AI24" s="203">
        <f>ROUND(AH24/AH$9,2)</f>
        <v>0</v>
      </c>
      <c r="AJ24" s="203">
        <f>AI24-AK24</f>
        <v>0</v>
      </c>
      <c r="AK24" s="203">
        <f>ROUND(AH24/AH$9*$D24,2)</f>
        <v>0</v>
      </c>
      <c r="AL24" s="202">
        <f>SUMIFS(AL$10:AL$38,$A$10:$A$38,"&lt;"&amp;$A$29,$A$10:$A$38,"&gt;"&amp;$A$24)</f>
        <v>0</v>
      </c>
      <c r="AM24" s="203">
        <f>ROUND(AL24/AL$9,2)</f>
        <v>0</v>
      </c>
      <c r="AN24" s="203">
        <f>AM24-AO24</f>
        <v>0</v>
      </c>
      <c r="AO24" s="203">
        <f>ROUND(AL24/AL$9*$D24,2)</f>
        <v>0</v>
      </c>
      <c r="AP24" s="202">
        <f>SUMIFS(AP$10:AP$38,$A$10:$A$38,"&lt;"&amp;$A$29,$A$10:$A$38,"&gt;"&amp;$A$24)</f>
        <v>0</v>
      </c>
      <c r="AQ24" s="203">
        <f>ROUND(AP24/AP$9,2)</f>
        <v>0</v>
      </c>
      <c r="AR24" s="203">
        <f>AQ24-AS24</f>
        <v>0</v>
      </c>
      <c r="AS24" s="203">
        <f>ROUND(AP24/AP$9*$D24,2)</f>
        <v>0</v>
      </c>
      <c r="AT24" s="202">
        <f>SUMIFS(AT$10:AT$38,$A$10:$A$38,"&lt;"&amp;$A$29,$A$10:$A$38,"&gt;"&amp;$A$24)</f>
        <v>0</v>
      </c>
      <c r="AU24" s="203">
        <f>ROUND(AT24/AT$9,2)</f>
        <v>0</v>
      </c>
      <c r="AV24" s="203">
        <f>AU24-AW24</f>
        <v>0</v>
      </c>
      <c r="AW24" s="203">
        <f>ROUND(AT24/AT$9*$D24,2)</f>
        <v>0</v>
      </c>
      <c r="AX24" s="202">
        <f>SUMIFS(AX$10:AX$38,$A$10:$A$38,"&lt;"&amp;$A$29,$A$10:$A$38,"&gt;"&amp;$A$24)</f>
        <v>0</v>
      </c>
      <c r="AY24" s="203">
        <f>ROUND(AX24/AX$9,2)</f>
        <v>0</v>
      </c>
      <c r="AZ24" s="203">
        <f>AY24-BA24</f>
        <v>0</v>
      </c>
      <c r="BA24" s="203">
        <f>ROUND(AX24/AX$9*$D24,2)</f>
        <v>0</v>
      </c>
      <c r="BB24" s="202">
        <f>SUMIFS(BB$10:BB$38,$A$10:$A$38,"&lt;"&amp;$A$29,$A$10:$A$38,"&gt;"&amp;$A$24)</f>
        <v>0</v>
      </c>
      <c r="BC24" s="203">
        <f>ROUND(BB24/BB$9,2)</f>
        <v>0</v>
      </c>
      <c r="BD24" s="203">
        <f>BC24-BE24</f>
        <v>0</v>
      </c>
      <c r="BE24" s="203">
        <f>ROUND(BB24/BB$9*$D24,2)</f>
        <v>0</v>
      </c>
      <c r="BF24" s="202">
        <f>SUMIFS(BF$10:BF$38,$A$10:$A$38,"&lt;"&amp;$A$29,$A$10:$A$38,"&gt;"&amp;$A$24)</f>
        <v>0</v>
      </c>
      <c r="BG24" s="203">
        <f>ROUND(BF24/BF$9,2)</f>
        <v>0</v>
      </c>
      <c r="BH24" s="203">
        <f>BG24-BI24</f>
        <v>0</v>
      </c>
      <c r="BI24" s="203">
        <f>ROUND(BF24/BF$9*$D24,2)</f>
        <v>0</v>
      </c>
      <c r="BJ24" s="129">
        <f>SUM(BJ25:BJ28)</f>
        <v>557179.23</v>
      </c>
      <c r="BK24" s="52">
        <f t="shared" si="0"/>
        <v>8.4874983688726299E-2</v>
      </c>
      <c r="BL24" s="122">
        <f t="shared" si="1"/>
        <v>6007525.7724000011</v>
      </c>
      <c r="BM24" s="180">
        <f>G24+K24+O24+S24+W24+AA24+AE24+AI24+AM24+AQ24+AU24+AY24+BC24+BG24</f>
        <v>530553.11</v>
      </c>
      <c r="BN24" s="51">
        <f>I24+M24+Q24+U24+Y24+AC24+AG24+AK24+AO24+AS24+AW24+BA24+BE24+BI24</f>
        <v>450970.14</v>
      </c>
      <c r="BO24" s="52">
        <f>BN24/E24</f>
        <v>8.373506389235727E-2</v>
      </c>
      <c r="BP24" s="130">
        <f>E24-BN24</f>
        <v>4934708.4400000004</v>
      </c>
      <c r="BQ24" s="227">
        <v>0</v>
      </c>
      <c r="BR24" s="227">
        <v>2400226</v>
      </c>
      <c r="BS24" s="227">
        <v>2534482.44</v>
      </c>
    </row>
    <row r="25" spans="1:104" s="19" customFormat="1">
      <c r="A25" s="159">
        <v>3.1</v>
      </c>
      <c r="B25" s="160" t="s">
        <v>190</v>
      </c>
      <c r="C25" s="161">
        <v>109012.5</v>
      </c>
      <c r="D25" s="142"/>
      <c r="E25" s="132"/>
      <c r="F25" s="204">
        <v>21306.94</v>
      </c>
      <c r="G25" s="205"/>
      <c r="H25" s="205"/>
      <c r="I25" s="205"/>
      <c r="J25" s="204">
        <v>12042.01</v>
      </c>
      <c r="K25" s="206"/>
      <c r="L25" s="206"/>
      <c r="M25" s="206"/>
      <c r="N25" s="204">
        <v>13095.5</v>
      </c>
      <c r="O25" s="206"/>
      <c r="P25" s="206"/>
      <c r="Q25" s="206"/>
      <c r="R25" s="204"/>
      <c r="S25" s="206"/>
      <c r="T25" s="206"/>
      <c r="U25" s="206"/>
      <c r="V25" s="204"/>
      <c r="W25" s="206"/>
      <c r="X25" s="206"/>
      <c r="Y25" s="206"/>
      <c r="Z25" s="204"/>
      <c r="AA25" s="206"/>
      <c r="AB25" s="206"/>
      <c r="AC25" s="206"/>
      <c r="AD25" s="204"/>
      <c r="AE25" s="206"/>
      <c r="AF25" s="206"/>
      <c r="AG25" s="206"/>
      <c r="AH25" s="204"/>
      <c r="AI25" s="206"/>
      <c r="AJ25" s="206"/>
      <c r="AK25" s="206"/>
      <c r="AL25" s="204"/>
      <c r="AM25" s="206"/>
      <c r="AN25" s="206"/>
      <c r="AO25" s="206"/>
      <c r="AP25" s="204"/>
      <c r="AQ25" s="206"/>
      <c r="AR25" s="206"/>
      <c r="AS25" s="206"/>
      <c r="AT25" s="204"/>
      <c r="AU25" s="206"/>
      <c r="AV25" s="206"/>
      <c r="AW25" s="206"/>
      <c r="AX25" s="204"/>
      <c r="AY25" s="206"/>
      <c r="AZ25" s="206"/>
      <c r="BA25" s="206"/>
      <c r="BB25" s="204"/>
      <c r="BC25" s="206"/>
      <c r="BD25" s="206"/>
      <c r="BE25" s="206"/>
      <c r="BF25" s="204"/>
      <c r="BG25" s="206"/>
      <c r="BH25" s="206"/>
      <c r="BI25" s="206"/>
      <c r="BJ25" s="131">
        <f>SUM(F25:BI25)</f>
        <v>46444.45</v>
      </c>
      <c r="BK25" s="54">
        <f t="shared" si="0"/>
        <v>0.42604701295722963</v>
      </c>
      <c r="BL25" s="123">
        <f>C25-BJ25</f>
        <v>62568.05</v>
      </c>
      <c r="BM25" s="181"/>
      <c r="BN25" s="53"/>
      <c r="BO25" s="53"/>
      <c r="BP25" s="132"/>
      <c r="BQ25" s="222"/>
      <c r="BR25" s="222"/>
      <c r="BS25" s="222"/>
    </row>
    <row r="26" spans="1:104" s="19" customFormat="1" ht="25.5">
      <c r="A26" s="159">
        <v>3.2</v>
      </c>
      <c r="B26" s="160" t="s">
        <v>191</v>
      </c>
      <c r="C26" s="161">
        <v>2622140.19</v>
      </c>
      <c r="D26" s="142"/>
      <c r="E26" s="132"/>
      <c r="F26" s="204">
        <v>0</v>
      </c>
      <c r="G26" s="205"/>
      <c r="H26" s="205"/>
      <c r="I26" s="205"/>
      <c r="J26" s="204">
        <v>71020.009999999995</v>
      </c>
      <c r="K26" s="206"/>
      <c r="L26" s="206"/>
      <c r="M26" s="206"/>
      <c r="N26" s="204">
        <v>71459.67</v>
      </c>
      <c r="O26" s="206"/>
      <c r="P26" s="206"/>
      <c r="Q26" s="206"/>
      <c r="R26" s="204"/>
      <c r="S26" s="206"/>
      <c r="T26" s="206"/>
      <c r="U26" s="206"/>
      <c r="V26" s="204"/>
      <c r="W26" s="206"/>
      <c r="X26" s="206"/>
      <c r="Y26" s="206"/>
      <c r="Z26" s="204"/>
      <c r="AA26" s="206"/>
      <c r="AB26" s="206"/>
      <c r="AC26" s="206"/>
      <c r="AD26" s="204"/>
      <c r="AE26" s="206"/>
      <c r="AF26" s="206"/>
      <c r="AG26" s="206"/>
      <c r="AH26" s="204"/>
      <c r="AI26" s="206"/>
      <c r="AJ26" s="206"/>
      <c r="AK26" s="206"/>
      <c r="AL26" s="204"/>
      <c r="AM26" s="206"/>
      <c r="AN26" s="206"/>
      <c r="AO26" s="206"/>
      <c r="AP26" s="204"/>
      <c r="AQ26" s="206"/>
      <c r="AR26" s="206"/>
      <c r="AS26" s="206"/>
      <c r="AT26" s="204"/>
      <c r="AU26" s="206"/>
      <c r="AV26" s="206"/>
      <c r="AW26" s="206"/>
      <c r="AX26" s="204"/>
      <c r="AY26" s="206"/>
      <c r="AZ26" s="206"/>
      <c r="BA26" s="206"/>
      <c r="BB26" s="204"/>
      <c r="BC26" s="206"/>
      <c r="BD26" s="206"/>
      <c r="BE26" s="206"/>
      <c r="BF26" s="204"/>
      <c r="BG26" s="206"/>
      <c r="BH26" s="206"/>
      <c r="BI26" s="206"/>
      <c r="BJ26" s="131">
        <f>SUM(F26:BI26)</f>
        <v>142479.67999999999</v>
      </c>
      <c r="BK26" s="54">
        <f t="shared" ref="BK26" si="6">BJ26/C26</f>
        <v>5.4337171041949517E-2</v>
      </c>
      <c r="BL26" s="123">
        <f>C26-BJ26</f>
        <v>2479660.5099999998</v>
      </c>
      <c r="BM26" s="181"/>
      <c r="BN26" s="53"/>
      <c r="BO26" s="53"/>
      <c r="BP26" s="132"/>
      <c r="BQ26" s="222"/>
      <c r="BR26" s="222"/>
      <c r="BS26" s="222"/>
    </row>
    <row r="27" spans="1:104" s="19" customFormat="1" ht="25.5">
      <c r="A27" s="159">
        <v>3.3</v>
      </c>
      <c r="B27" s="160" t="s">
        <v>192</v>
      </c>
      <c r="C27" s="161">
        <v>3404085.63</v>
      </c>
      <c r="D27" s="142"/>
      <c r="E27" s="132"/>
      <c r="F27" s="204">
        <v>0</v>
      </c>
      <c r="G27" s="205"/>
      <c r="H27" s="205"/>
      <c r="I27" s="205"/>
      <c r="J27" s="161">
        <v>165209.63</v>
      </c>
      <c r="K27" s="206"/>
      <c r="L27" s="206"/>
      <c r="M27" s="206"/>
      <c r="N27" s="204">
        <v>166594.6</v>
      </c>
      <c r="O27" s="206"/>
      <c r="P27" s="206"/>
      <c r="Q27" s="206"/>
      <c r="R27" s="204"/>
      <c r="S27" s="206"/>
      <c r="T27" s="206"/>
      <c r="U27" s="206"/>
      <c r="V27" s="204"/>
      <c r="W27" s="206"/>
      <c r="X27" s="206"/>
      <c r="Y27" s="206"/>
      <c r="Z27" s="204"/>
      <c r="AA27" s="206"/>
      <c r="AB27" s="206"/>
      <c r="AC27" s="206"/>
      <c r="AD27" s="204"/>
      <c r="AE27" s="206"/>
      <c r="AF27" s="206"/>
      <c r="AG27" s="206"/>
      <c r="AH27" s="204"/>
      <c r="AI27" s="206"/>
      <c r="AJ27" s="206"/>
      <c r="AK27" s="206"/>
      <c r="AL27" s="204"/>
      <c r="AM27" s="206"/>
      <c r="AN27" s="206"/>
      <c r="AO27" s="206"/>
      <c r="AP27" s="204"/>
      <c r="AQ27" s="206"/>
      <c r="AR27" s="206"/>
      <c r="AS27" s="206"/>
      <c r="AT27" s="204"/>
      <c r="AU27" s="206"/>
      <c r="AV27" s="206"/>
      <c r="AW27" s="206"/>
      <c r="AX27" s="204"/>
      <c r="AY27" s="206"/>
      <c r="AZ27" s="206"/>
      <c r="BA27" s="206"/>
      <c r="BB27" s="204"/>
      <c r="BC27" s="206"/>
      <c r="BD27" s="206"/>
      <c r="BE27" s="206"/>
      <c r="BF27" s="204"/>
      <c r="BG27" s="206"/>
      <c r="BH27" s="206"/>
      <c r="BI27" s="206"/>
      <c r="BJ27" s="131">
        <f t="shared" si="2"/>
        <v>331804.23</v>
      </c>
      <c r="BK27" s="54">
        <f t="shared" si="0"/>
        <v>9.7472351187593356E-2</v>
      </c>
      <c r="BL27" s="123">
        <f t="shared" si="1"/>
        <v>3072281.4</v>
      </c>
      <c r="BM27" s="181"/>
      <c r="BN27" s="53"/>
      <c r="BO27" s="53"/>
      <c r="BP27" s="132"/>
      <c r="BQ27" s="222"/>
      <c r="BR27" s="222"/>
      <c r="BS27" s="222"/>
    </row>
    <row r="28" spans="1:104" s="19" customFormat="1">
      <c r="A28" s="159">
        <v>3.4</v>
      </c>
      <c r="B28" s="160" t="s">
        <v>183</v>
      </c>
      <c r="C28" s="161">
        <v>429466.68240000005</v>
      </c>
      <c r="D28" s="142"/>
      <c r="E28" s="132"/>
      <c r="F28" s="204">
        <f>1491.48</f>
        <v>1491.48</v>
      </c>
      <c r="G28" s="205"/>
      <c r="H28" s="205"/>
      <c r="I28" s="205"/>
      <c r="J28" s="204">
        <f>842.94+16535.98</f>
        <v>17378.919999999998</v>
      </c>
      <c r="K28" s="206"/>
      <c r="L28" s="206"/>
      <c r="M28" s="206"/>
      <c r="N28" s="204">
        <f>916.69+16663.78</f>
        <v>17580.469999999998</v>
      </c>
      <c r="O28" s="206"/>
      <c r="P28" s="206"/>
      <c r="Q28" s="206"/>
      <c r="R28" s="204"/>
      <c r="S28" s="206"/>
      <c r="T28" s="206"/>
      <c r="U28" s="206"/>
      <c r="V28" s="204"/>
      <c r="W28" s="206"/>
      <c r="X28" s="206"/>
      <c r="Y28" s="206"/>
      <c r="Z28" s="204"/>
      <c r="AA28" s="206"/>
      <c r="AB28" s="206"/>
      <c r="AC28" s="206"/>
      <c r="AD28" s="204"/>
      <c r="AE28" s="206"/>
      <c r="AF28" s="206"/>
      <c r="AG28" s="206"/>
      <c r="AH28" s="204"/>
      <c r="AI28" s="206"/>
      <c r="AJ28" s="206"/>
      <c r="AK28" s="206"/>
      <c r="AL28" s="204"/>
      <c r="AM28" s="206"/>
      <c r="AN28" s="206"/>
      <c r="AO28" s="206"/>
      <c r="AP28" s="204"/>
      <c r="AQ28" s="206"/>
      <c r="AR28" s="206"/>
      <c r="AS28" s="206"/>
      <c r="AT28" s="204"/>
      <c r="AU28" s="206"/>
      <c r="AV28" s="206"/>
      <c r="AW28" s="206"/>
      <c r="AX28" s="204"/>
      <c r="AY28" s="206"/>
      <c r="AZ28" s="206"/>
      <c r="BA28" s="206"/>
      <c r="BB28" s="204"/>
      <c r="BC28" s="206"/>
      <c r="BD28" s="206"/>
      <c r="BE28" s="206"/>
      <c r="BF28" s="204"/>
      <c r="BG28" s="206"/>
      <c r="BH28" s="206"/>
      <c r="BI28" s="206"/>
      <c r="BJ28" s="131">
        <f t="shared" si="2"/>
        <v>36450.869999999995</v>
      </c>
      <c r="BK28" s="54">
        <f t="shared" si="0"/>
        <v>8.4874732997448452E-2</v>
      </c>
      <c r="BL28" s="123">
        <f t="shared" si="1"/>
        <v>393015.81240000005</v>
      </c>
      <c r="BM28" s="181"/>
      <c r="BN28" s="53"/>
      <c r="BO28" s="53"/>
      <c r="BP28" s="132"/>
      <c r="BQ28" s="222"/>
      <c r="BR28" s="222"/>
      <c r="BS28" s="222"/>
    </row>
    <row r="29" spans="1:104" s="19" customFormat="1" ht="25.5">
      <c r="A29" s="157">
        <v>4</v>
      </c>
      <c r="B29" s="158" t="s">
        <v>193</v>
      </c>
      <c r="C29" s="51">
        <f>SUM(C30:C34)</f>
        <v>6531885.1169999996</v>
      </c>
      <c r="D29" s="162">
        <v>0.85</v>
      </c>
      <c r="E29" s="130">
        <f>ROUND(C29/$C$9*D29,2)</f>
        <v>5358753.18</v>
      </c>
      <c r="F29" s="202">
        <f>SUM(F30:F34)</f>
        <v>0</v>
      </c>
      <c r="G29" s="203">
        <f>ROUND(F29/$F$9,2)</f>
        <v>0</v>
      </c>
      <c r="H29" s="203">
        <f>G29-I29</f>
        <v>0</v>
      </c>
      <c r="I29" s="203">
        <f>ROUND(F29/F$9*$D29,2)</f>
        <v>0</v>
      </c>
      <c r="J29" s="202">
        <f>SUM(J30:J34)</f>
        <v>0</v>
      </c>
      <c r="K29" s="203">
        <f>ROUND(J29/J$9,2)</f>
        <v>0</v>
      </c>
      <c r="L29" s="203">
        <f>K29-M29</f>
        <v>0</v>
      </c>
      <c r="M29" s="203">
        <f>ROUND(J29/J$9*$D29,2)</f>
        <v>0</v>
      </c>
      <c r="N29" s="202">
        <f>SUM(N30:N34)</f>
        <v>355894.43</v>
      </c>
      <c r="O29" s="203">
        <f>ROUND(N29/N$9,2)</f>
        <v>355894.43</v>
      </c>
      <c r="P29" s="203">
        <f>O29-Q29</f>
        <v>53384.159999999974</v>
      </c>
      <c r="Q29" s="203">
        <f>ROUND(N29/N$9*$D29,2)</f>
        <v>302510.27</v>
      </c>
      <c r="R29" s="202">
        <f>SUMIFS(R$10:R$38,$A$10:$A$38,"&lt;"&amp;$A$35,$A$10:$A$38,"&gt;"&amp;$A$29)</f>
        <v>0</v>
      </c>
      <c r="S29" s="203">
        <f>ROUND(R29/R$9,2)</f>
        <v>0</v>
      </c>
      <c r="T29" s="203">
        <f>S29-U29</f>
        <v>0</v>
      </c>
      <c r="U29" s="203">
        <f>ROUND(R29/R$9*$D29,2)</f>
        <v>0</v>
      </c>
      <c r="V29" s="202">
        <f>SUMIFS(V$10:V$38,$A$10:$A$38,"&lt;"&amp;$A$35,$A$10:$A$38,"&gt;"&amp;$A$29)</f>
        <v>0</v>
      </c>
      <c r="W29" s="203">
        <f>ROUND(V29/V$9,2)</f>
        <v>0</v>
      </c>
      <c r="X29" s="203">
        <f>W29-Y29</f>
        <v>0</v>
      </c>
      <c r="Y29" s="203">
        <f>ROUND(V29/V$9*$D29,2)</f>
        <v>0</v>
      </c>
      <c r="Z29" s="202">
        <f>SUMIFS(Z$10:Z$38,$A$10:$A$38,"&lt;"&amp;$A$35,$A$10:$A$38,"&gt;"&amp;$A$29)</f>
        <v>0</v>
      </c>
      <c r="AA29" s="203">
        <f>ROUND(Z29/Z$9,2)</f>
        <v>0</v>
      </c>
      <c r="AB29" s="203">
        <f>AA29-AC29</f>
        <v>0</v>
      </c>
      <c r="AC29" s="203">
        <f>ROUND(Z29/Z$9*$D29,2)</f>
        <v>0</v>
      </c>
      <c r="AD29" s="202">
        <f>SUMIFS(AD$10:AD$38,$A$10:$A$38,"&lt;"&amp;$A$35,$A$10:$A$38,"&gt;"&amp;$A$29)</f>
        <v>0</v>
      </c>
      <c r="AE29" s="203">
        <f>ROUND(AD29/AD$9,2)</f>
        <v>0</v>
      </c>
      <c r="AF29" s="203">
        <f>AE29-AG29</f>
        <v>0</v>
      </c>
      <c r="AG29" s="203">
        <f>ROUND(AD29/AD$9*$D29,2)</f>
        <v>0</v>
      </c>
      <c r="AH29" s="202">
        <f>SUMIFS(AH$10:AH$38,$A$10:$A$38,"&lt;"&amp;$A$35,$A$10:$A$38,"&gt;"&amp;$A$29)</f>
        <v>0</v>
      </c>
      <c r="AI29" s="203">
        <f>ROUND(AH29/AH$9,2)</f>
        <v>0</v>
      </c>
      <c r="AJ29" s="203">
        <f>AI29-AK29</f>
        <v>0</v>
      </c>
      <c r="AK29" s="203">
        <f>ROUND(AH29/AH$9*$D29,2)</f>
        <v>0</v>
      </c>
      <c r="AL29" s="202">
        <f>SUMIFS(AL$10:AL$38,$A$10:$A$38,"&lt;"&amp;$A$35,$A$10:$A$38,"&gt;"&amp;$A$29)</f>
        <v>0</v>
      </c>
      <c r="AM29" s="203">
        <f>ROUND(AL29/AL$9,2)</f>
        <v>0</v>
      </c>
      <c r="AN29" s="203">
        <f>AM29-AO29</f>
        <v>0</v>
      </c>
      <c r="AO29" s="203">
        <f>ROUND(AL29/AL$9*$D29,2)</f>
        <v>0</v>
      </c>
      <c r="AP29" s="202">
        <f>SUMIFS(AP$10:AP$38,$A$10:$A$38,"&lt;"&amp;$A$35,$A$10:$A$38,"&gt;"&amp;$A$29)</f>
        <v>0</v>
      </c>
      <c r="AQ29" s="203">
        <f>ROUND(AP29/AP$9,2)</f>
        <v>0</v>
      </c>
      <c r="AR29" s="203">
        <f>AQ29-AS29</f>
        <v>0</v>
      </c>
      <c r="AS29" s="203">
        <f>ROUND(AP29/AP$9*$D29,2)</f>
        <v>0</v>
      </c>
      <c r="AT29" s="202">
        <f>SUMIFS(AT$10:AT$38,$A$10:$A$38,"&lt;"&amp;$A$35,$A$10:$A$38,"&gt;"&amp;$A$29)</f>
        <v>0</v>
      </c>
      <c r="AU29" s="203">
        <f>ROUND(AT29/AT$9,2)</f>
        <v>0</v>
      </c>
      <c r="AV29" s="203">
        <f>AU29-AW29</f>
        <v>0</v>
      </c>
      <c r="AW29" s="203">
        <f>ROUND(AT29/AT$9*$D29,2)</f>
        <v>0</v>
      </c>
      <c r="AX29" s="202">
        <f>SUMIFS(AX$10:AX$38,$A$10:$A$38,"&lt;"&amp;$A$35,$A$10:$A$38,"&gt;"&amp;$A$29)</f>
        <v>0</v>
      </c>
      <c r="AY29" s="203">
        <f>ROUND(AX29/AX$9,2)</f>
        <v>0</v>
      </c>
      <c r="AZ29" s="203">
        <f>AY29-BA29</f>
        <v>0</v>
      </c>
      <c r="BA29" s="203">
        <f>ROUND(AX29/AX$9*$D29,2)</f>
        <v>0</v>
      </c>
      <c r="BB29" s="202">
        <f>SUMIFS(BB$10:BB$38,$A$10:$A$38,"&lt;"&amp;$A$35,$A$10:$A$38,"&gt;"&amp;$A$29)</f>
        <v>0</v>
      </c>
      <c r="BC29" s="203">
        <f>ROUND(BB29/BB$9,2)</f>
        <v>0</v>
      </c>
      <c r="BD29" s="203">
        <f>BC29-BE29</f>
        <v>0</v>
      </c>
      <c r="BE29" s="203">
        <f>ROUND(BB29/BB$9*$D29,2)</f>
        <v>0</v>
      </c>
      <c r="BF29" s="202">
        <f>SUMIFS(BF$10:BF$38,$A$10:$A$38,"&lt;"&amp;$A$35,$A$10:$A$38,"&gt;"&amp;$A$29)</f>
        <v>0</v>
      </c>
      <c r="BG29" s="203">
        <f>ROUND(BF29/BF$9,2)</f>
        <v>0</v>
      </c>
      <c r="BH29" s="203">
        <f>BG29-BI29</f>
        <v>0</v>
      </c>
      <c r="BI29" s="203">
        <f>ROUND(BF29/BF$9*$D29,2)</f>
        <v>0</v>
      </c>
      <c r="BJ29" s="129">
        <f>SUM(BJ30:BJ34)</f>
        <v>355894.43</v>
      </c>
      <c r="BK29" s="52">
        <f t="shared" si="0"/>
        <v>5.4485714862581226E-2</v>
      </c>
      <c r="BL29" s="122">
        <f t="shared" si="1"/>
        <v>6175990.6869999999</v>
      </c>
      <c r="BM29" s="180">
        <f>G29+K29+O29+S29+W29+AA29+AE29+AI29+AM29+AQ29+AU29+AY29+BC29+BG29</f>
        <v>355894.43</v>
      </c>
      <c r="BN29" s="51">
        <f>I29+M29+Q29+U29+Y29+AC29+AG29+AK29+AO29+AS29+AW29+BA29+BE29+BI29</f>
        <v>302510.27</v>
      </c>
      <c r="BO29" s="52">
        <f>BN29/E29</f>
        <v>5.6451614739233061E-2</v>
      </c>
      <c r="BP29" s="130">
        <f>E29-BN29</f>
        <v>5056242.91</v>
      </c>
      <c r="BQ29" s="227">
        <v>0</v>
      </c>
      <c r="BR29" s="227">
        <v>1085865</v>
      </c>
      <c r="BS29" s="227">
        <v>3970377.91</v>
      </c>
    </row>
    <row r="30" spans="1:104" s="19" customFormat="1">
      <c r="A30" s="159">
        <v>4.0999999999999996</v>
      </c>
      <c r="B30" s="160" t="s">
        <v>194</v>
      </c>
      <c r="C30" s="161">
        <v>102600</v>
      </c>
      <c r="D30" s="142"/>
      <c r="E30" s="132"/>
      <c r="F30" s="204">
        <v>0</v>
      </c>
      <c r="G30" s="205"/>
      <c r="H30" s="205"/>
      <c r="I30" s="205"/>
      <c r="J30" s="204">
        <v>0</v>
      </c>
      <c r="K30" s="206"/>
      <c r="L30" s="206"/>
      <c r="M30" s="206"/>
      <c r="N30" s="204">
        <v>44920.22</v>
      </c>
      <c r="O30" s="206"/>
      <c r="P30" s="206"/>
      <c r="Q30" s="206"/>
      <c r="R30" s="204"/>
      <c r="S30" s="206"/>
      <c r="T30" s="206"/>
      <c r="U30" s="206"/>
      <c r="V30" s="204"/>
      <c r="W30" s="206"/>
      <c r="X30" s="206"/>
      <c r="Y30" s="206"/>
      <c r="Z30" s="204"/>
      <c r="AA30" s="206"/>
      <c r="AB30" s="206"/>
      <c r="AC30" s="206"/>
      <c r="AD30" s="204"/>
      <c r="AE30" s="206"/>
      <c r="AF30" s="206"/>
      <c r="AG30" s="206"/>
      <c r="AH30" s="204"/>
      <c r="AI30" s="206"/>
      <c r="AJ30" s="206"/>
      <c r="AK30" s="206"/>
      <c r="AL30" s="204"/>
      <c r="AM30" s="206"/>
      <c r="AN30" s="206"/>
      <c r="AO30" s="206"/>
      <c r="AP30" s="204"/>
      <c r="AQ30" s="206"/>
      <c r="AR30" s="206"/>
      <c r="AS30" s="206"/>
      <c r="AT30" s="204"/>
      <c r="AU30" s="206"/>
      <c r="AV30" s="206"/>
      <c r="AW30" s="206"/>
      <c r="AX30" s="204"/>
      <c r="AY30" s="206"/>
      <c r="AZ30" s="206"/>
      <c r="BA30" s="206"/>
      <c r="BB30" s="204"/>
      <c r="BC30" s="206"/>
      <c r="BD30" s="206"/>
      <c r="BE30" s="206"/>
      <c r="BF30" s="204"/>
      <c r="BG30" s="206"/>
      <c r="BH30" s="206"/>
      <c r="BI30" s="206"/>
      <c r="BJ30" s="131">
        <f t="shared" si="2"/>
        <v>44920.22</v>
      </c>
      <c r="BK30" s="54">
        <f t="shared" si="0"/>
        <v>0.43781890838206627</v>
      </c>
      <c r="BL30" s="123">
        <f t="shared" si="1"/>
        <v>57679.78</v>
      </c>
      <c r="BM30" s="181"/>
      <c r="BN30" s="53"/>
      <c r="BO30" s="53"/>
      <c r="BP30" s="132"/>
      <c r="BQ30" s="222"/>
      <c r="BR30" s="222"/>
      <c r="BS30" s="222"/>
    </row>
    <row r="31" spans="1:104" s="19" customFormat="1">
      <c r="A31" s="159">
        <v>4.2</v>
      </c>
      <c r="B31" s="160" t="s">
        <v>195</v>
      </c>
      <c r="C31" s="161">
        <v>62765.297000000006</v>
      </c>
      <c r="D31" s="142"/>
      <c r="E31" s="132"/>
      <c r="F31" s="204">
        <v>0</v>
      </c>
      <c r="G31" s="205"/>
      <c r="H31" s="205"/>
      <c r="I31" s="205"/>
      <c r="J31" s="204">
        <v>0</v>
      </c>
      <c r="K31" s="206"/>
      <c r="L31" s="206"/>
      <c r="M31" s="206"/>
      <c r="N31" s="204">
        <f>3144.44+10200.87</f>
        <v>13345.310000000001</v>
      </c>
      <c r="O31" s="206"/>
      <c r="P31" s="206"/>
      <c r="Q31" s="206"/>
      <c r="R31" s="204"/>
      <c r="S31" s="206"/>
      <c r="T31" s="206"/>
      <c r="U31" s="206"/>
      <c r="V31" s="204"/>
      <c r="W31" s="206"/>
      <c r="X31" s="206"/>
      <c r="Y31" s="206"/>
      <c r="Z31" s="204"/>
      <c r="AA31" s="206"/>
      <c r="AB31" s="206"/>
      <c r="AC31" s="206"/>
      <c r="AD31" s="204"/>
      <c r="AE31" s="206"/>
      <c r="AF31" s="206"/>
      <c r="AG31" s="206"/>
      <c r="AH31" s="204"/>
      <c r="AI31" s="206"/>
      <c r="AJ31" s="206"/>
      <c r="AK31" s="206"/>
      <c r="AL31" s="204"/>
      <c r="AM31" s="206"/>
      <c r="AN31" s="206"/>
      <c r="AO31" s="206"/>
      <c r="AP31" s="204"/>
      <c r="AQ31" s="206"/>
      <c r="AR31" s="206"/>
      <c r="AS31" s="206"/>
      <c r="AT31" s="204"/>
      <c r="AU31" s="206"/>
      <c r="AV31" s="206"/>
      <c r="AW31" s="206"/>
      <c r="AX31" s="204"/>
      <c r="AY31" s="206"/>
      <c r="AZ31" s="206"/>
      <c r="BA31" s="206"/>
      <c r="BB31" s="204"/>
      <c r="BC31" s="206"/>
      <c r="BD31" s="206"/>
      <c r="BE31" s="206"/>
      <c r="BF31" s="204"/>
      <c r="BG31" s="206"/>
      <c r="BH31" s="206"/>
      <c r="BI31" s="206"/>
      <c r="BJ31" s="131">
        <f t="shared" si="2"/>
        <v>13345.310000000001</v>
      </c>
      <c r="BK31" s="54">
        <f t="shared" si="0"/>
        <v>0.21262243051283577</v>
      </c>
      <c r="BL31" s="123">
        <f t="shared" si="1"/>
        <v>49419.987000000008</v>
      </c>
      <c r="BM31" s="181"/>
      <c r="BN31" s="53"/>
      <c r="BO31" s="53"/>
      <c r="BP31" s="132"/>
      <c r="BQ31" s="222"/>
      <c r="BR31" s="222"/>
      <c r="BS31" s="222"/>
    </row>
    <row r="32" spans="1:104" s="19" customFormat="1" ht="25.5">
      <c r="A32" s="159">
        <v>4.3</v>
      </c>
      <c r="B32" s="160" t="s">
        <v>196</v>
      </c>
      <c r="C32" s="161">
        <v>5572472.7199999997</v>
      </c>
      <c r="D32" s="142"/>
      <c r="E32" s="132"/>
      <c r="F32" s="204">
        <v>0</v>
      </c>
      <c r="G32" s="205"/>
      <c r="H32" s="205"/>
      <c r="I32" s="205"/>
      <c r="J32" s="204">
        <v>0</v>
      </c>
      <c r="K32" s="206"/>
      <c r="L32" s="206"/>
      <c r="M32" s="206"/>
      <c r="N32" s="204">
        <v>151902</v>
      </c>
      <c r="O32" s="206"/>
      <c r="P32" s="206"/>
      <c r="Q32" s="206"/>
      <c r="R32" s="204"/>
      <c r="S32" s="206"/>
      <c r="T32" s="206"/>
      <c r="U32" s="206"/>
      <c r="V32" s="204"/>
      <c r="W32" s="206"/>
      <c r="X32" s="206"/>
      <c r="Y32" s="206"/>
      <c r="Z32" s="204"/>
      <c r="AA32" s="206"/>
      <c r="AB32" s="206"/>
      <c r="AC32" s="206"/>
      <c r="AD32" s="204"/>
      <c r="AE32" s="206"/>
      <c r="AF32" s="206"/>
      <c r="AG32" s="206"/>
      <c r="AH32" s="204"/>
      <c r="AI32" s="206"/>
      <c r="AJ32" s="206"/>
      <c r="AK32" s="206"/>
      <c r="AL32" s="204"/>
      <c r="AM32" s="206"/>
      <c r="AN32" s="206"/>
      <c r="AO32" s="206"/>
      <c r="AP32" s="204"/>
      <c r="AQ32" s="206"/>
      <c r="AR32" s="206"/>
      <c r="AS32" s="206"/>
      <c r="AT32" s="204"/>
      <c r="AU32" s="206"/>
      <c r="AV32" s="206"/>
      <c r="AW32" s="206"/>
      <c r="AX32" s="204"/>
      <c r="AY32" s="206"/>
      <c r="AZ32" s="206"/>
      <c r="BA32" s="206"/>
      <c r="BB32" s="204"/>
      <c r="BC32" s="206"/>
      <c r="BD32" s="206"/>
      <c r="BE32" s="206"/>
      <c r="BF32" s="204"/>
      <c r="BG32" s="206"/>
      <c r="BH32" s="206"/>
      <c r="BI32" s="206"/>
      <c r="BJ32" s="131">
        <f t="shared" si="2"/>
        <v>151902</v>
      </c>
      <c r="BK32" s="54">
        <f t="shared" si="0"/>
        <v>2.725935282820012E-2</v>
      </c>
      <c r="BL32" s="123">
        <f t="shared" si="1"/>
        <v>5420570.7199999997</v>
      </c>
      <c r="BM32" s="181"/>
      <c r="BN32" s="53"/>
      <c r="BO32" s="53"/>
      <c r="BP32" s="132"/>
      <c r="BQ32" s="222"/>
      <c r="BR32" s="222"/>
      <c r="BS32" s="222"/>
    </row>
    <row r="33" spans="1:71" s="19" customFormat="1">
      <c r="A33" s="212" t="s">
        <v>197</v>
      </c>
      <c r="B33" s="160" t="s">
        <v>198</v>
      </c>
      <c r="C33" s="161">
        <v>152617.5</v>
      </c>
      <c r="D33" s="142"/>
      <c r="E33" s="132"/>
      <c r="F33" s="204">
        <v>0</v>
      </c>
      <c r="G33" s="205"/>
      <c r="H33" s="205"/>
      <c r="I33" s="205"/>
      <c r="J33" s="204">
        <v>0</v>
      </c>
      <c r="K33" s="206"/>
      <c r="L33" s="206"/>
      <c r="M33" s="206"/>
      <c r="N33" s="204">
        <v>17233.439999999999</v>
      </c>
      <c r="O33" s="206"/>
      <c r="P33" s="206"/>
      <c r="Q33" s="206"/>
      <c r="R33" s="204"/>
      <c r="S33" s="206"/>
      <c r="T33" s="206"/>
      <c r="U33" s="206"/>
      <c r="V33" s="204"/>
      <c r="W33" s="206"/>
      <c r="X33" s="206"/>
      <c r="Y33" s="206"/>
      <c r="Z33" s="204"/>
      <c r="AA33" s="206"/>
      <c r="AB33" s="206"/>
      <c r="AC33" s="206"/>
      <c r="AD33" s="204"/>
      <c r="AE33" s="206"/>
      <c r="AF33" s="206"/>
      <c r="AG33" s="206"/>
      <c r="AH33" s="204"/>
      <c r="AI33" s="206"/>
      <c r="AJ33" s="206"/>
      <c r="AK33" s="206"/>
      <c r="AL33" s="204"/>
      <c r="AM33" s="206"/>
      <c r="AN33" s="206"/>
      <c r="AO33" s="206"/>
      <c r="AP33" s="204"/>
      <c r="AQ33" s="206"/>
      <c r="AR33" s="206"/>
      <c r="AS33" s="206"/>
      <c r="AT33" s="204"/>
      <c r="AU33" s="206"/>
      <c r="AV33" s="206"/>
      <c r="AW33" s="206"/>
      <c r="AX33" s="204"/>
      <c r="AY33" s="206"/>
      <c r="AZ33" s="206"/>
      <c r="BA33" s="206"/>
      <c r="BB33" s="204"/>
      <c r="BC33" s="206"/>
      <c r="BD33" s="206"/>
      <c r="BE33" s="206"/>
      <c r="BF33" s="204"/>
      <c r="BG33" s="206"/>
      <c r="BH33" s="206"/>
      <c r="BI33" s="206"/>
      <c r="BJ33" s="131">
        <f t="shared" si="2"/>
        <v>17233.439999999999</v>
      </c>
      <c r="BK33" s="54">
        <f t="shared" si="0"/>
        <v>0.11291916064671481</v>
      </c>
      <c r="BL33" s="123">
        <f t="shared" si="1"/>
        <v>135384.06</v>
      </c>
      <c r="BM33" s="181"/>
      <c r="BN33" s="53"/>
      <c r="BO33" s="53"/>
      <c r="BP33" s="132"/>
      <c r="BQ33" s="222"/>
      <c r="BR33" s="222"/>
      <c r="BS33" s="222"/>
    </row>
    <row r="34" spans="1:71" s="19" customFormat="1" ht="38.25">
      <c r="A34" s="159">
        <v>4.4000000000000004</v>
      </c>
      <c r="B34" s="160" t="s">
        <v>199</v>
      </c>
      <c r="C34" s="161">
        <v>641429.6</v>
      </c>
      <c r="D34" s="142"/>
      <c r="E34" s="132"/>
      <c r="F34" s="204">
        <v>0</v>
      </c>
      <c r="G34" s="205"/>
      <c r="H34" s="205"/>
      <c r="I34" s="205"/>
      <c r="J34" s="204">
        <v>0</v>
      </c>
      <c r="K34" s="206"/>
      <c r="L34" s="206"/>
      <c r="M34" s="206"/>
      <c r="N34" s="204">
        <v>128493.46</v>
      </c>
      <c r="O34" s="206"/>
      <c r="P34" s="206"/>
      <c r="Q34" s="206"/>
      <c r="R34" s="204"/>
      <c r="S34" s="206"/>
      <c r="T34" s="206"/>
      <c r="U34" s="206"/>
      <c r="V34" s="204"/>
      <c r="W34" s="206"/>
      <c r="X34" s="206"/>
      <c r="Y34" s="206"/>
      <c r="Z34" s="204"/>
      <c r="AA34" s="206"/>
      <c r="AB34" s="206"/>
      <c r="AC34" s="206"/>
      <c r="AD34" s="204"/>
      <c r="AE34" s="206"/>
      <c r="AF34" s="206"/>
      <c r="AG34" s="206"/>
      <c r="AH34" s="204"/>
      <c r="AI34" s="206"/>
      <c r="AJ34" s="206"/>
      <c r="AK34" s="206"/>
      <c r="AL34" s="204"/>
      <c r="AM34" s="206"/>
      <c r="AN34" s="206"/>
      <c r="AO34" s="206"/>
      <c r="AP34" s="204"/>
      <c r="AQ34" s="206"/>
      <c r="AR34" s="206"/>
      <c r="AS34" s="206"/>
      <c r="AT34" s="204"/>
      <c r="AU34" s="206"/>
      <c r="AV34" s="206"/>
      <c r="AW34" s="206"/>
      <c r="AX34" s="204"/>
      <c r="AY34" s="206"/>
      <c r="AZ34" s="206"/>
      <c r="BA34" s="206"/>
      <c r="BB34" s="204"/>
      <c r="BC34" s="206"/>
      <c r="BD34" s="206"/>
      <c r="BE34" s="206"/>
      <c r="BF34" s="204"/>
      <c r="BG34" s="206"/>
      <c r="BH34" s="206"/>
      <c r="BI34" s="206"/>
      <c r="BJ34" s="131">
        <f t="shared" si="2"/>
        <v>128493.46</v>
      </c>
      <c r="BK34" s="54">
        <f t="shared" si="0"/>
        <v>0.20032355850119796</v>
      </c>
      <c r="BL34" s="123">
        <f t="shared" si="1"/>
        <v>512936.13999999996</v>
      </c>
      <c r="BM34" s="181"/>
      <c r="BN34" s="53"/>
      <c r="BO34" s="53"/>
      <c r="BP34" s="132"/>
      <c r="BQ34" s="222"/>
      <c r="BR34" s="222"/>
      <c r="BS34" s="222"/>
    </row>
    <row r="35" spans="1:71" s="19" customFormat="1" ht="25.5">
      <c r="A35" s="157">
        <v>5</v>
      </c>
      <c r="B35" s="158" t="s">
        <v>200</v>
      </c>
      <c r="C35" s="51">
        <f>SUM(C36:C38)</f>
        <v>1216022.7929999998</v>
      </c>
      <c r="D35" s="162">
        <v>0.85</v>
      </c>
      <c r="E35" s="130">
        <f>ROUND(C35/$C$9*D35,2)</f>
        <v>997624.1</v>
      </c>
      <c r="F35" s="202">
        <f>SUM(F36:F38)</f>
        <v>95872.08</v>
      </c>
      <c r="G35" s="203">
        <f>ROUND(F35/$F$9,2)</f>
        <v>89582.87</v>
      </c>
      <c r="H35" s="203">
        <f>G35-I35</f>
        <v>13437.429999999993</v>
      </c>
      <c r="I35" s="203">
        <f>ROUND(F35/F$9*$D35,2)</f>
        <v>76145.440000000002</v>
      </c>
      <c r="J35" s="202">
        <f>SUM(J36:J38)</f>
        <v>128924.79999999999</v>
      </c>
      <c r="K35" s="203">
        <f>ROUND(J35/J$9,2)</f>
        <v>116728.51</v>
      </c>
      <c r="L35" s="203">
        <f>K35-M35</f>
        <v>17509.26999999999</v>
      </c>
      <c r="M35" s="203">
        <f>ROUND(J35/J$9*$D35,2)</f>
        <v>99219.24</v>
      </c>
      <c r="N35" s="202">
        <f>SUM(N36:N38)</f>
        <v>50346.090000000004</v>
      </c>
      <c r="O35" s="203">
        <f>ROUND(N35/N$9,2)</f>
        <v>50346.09</v>
      </c>
      <c r="P35" s="203">
        <f>O35-Q35</f>
        <v>7551.9099999999962</v>
      </c>
      <c r="Q35" s="203">
        <f>ROUND(N35/N$9*$D35,2)</f>
        <v>42794.18</v>
      </c>
      <c r="R35" s="202">
        <f>SUMIFS(R$10:R$38,$A$10:$A$38,"&lt;"&amp;#REF!,$A$10:$A$38,"&gt;"&amp;$A$35)</f>
        <v>0</v>
      </c>
      <c r="S35" s="203">
        <f>ROUND(R35/R$9,2)</f>
        <v>0</v>
      </c>
      <c r="T35" s="203">
        <f>S35-U35</f>
        <v>0</v>
      </c>
      <c r="U35" s="203">
        <f>ROUND(R35/R$9*$D35,2)</f>
        <v>0</v>
      </c>
      <c r="V35" s="202">
        <f>SUMIFS(V$10:V$38,$A$10:$A$38,"&lt;"&amp;#REF!,$A$10:$A$38,"&gt;"&amp;$A$35)</f>
        <v>0</v>
      </c>
      <c r="W35" s="203">
        <f>ROUND(V35/V$9,2)</f>
        <v>0</v>
      </c>
      <c r="X35" s="203">
        <f>W35-Y35</f>
        <v>0</v>
      </c>
      <c r="Y35" s="203">
        <f>ROUND(V35/V$9*$D35,2)</f>
        <v>0</v>
      </c>
      <c r="Z35" s="202">
        <f>SUMIFS(Z$10:Z$38,$A$10:$A$38,"&lt;"&amp;#REF!,$A$10:$A$38,"&gt;"&amp;$A$35)</f>
        <v>0</v>
      </c>
      <c r="AA35" s="203">
        <f>ROUND(Z35/Z$9,2)</f>
        <v>0</v>
      </c>
      <c r="AB35" s="203">
        <f>AA35-AC35</f>
        <v>0</v>
      </c>
      <c r="AC35" s="203">
        <f>ROUND(Z35/Z$9*$D35,2)</f>
        <v>0</v>
      </c>
      <c r="AD35" s="202">
        <f>SUMIFS(AD$10:AD$38,$A$10:$A$38,"&lt;"&amp;#REF!,$A$10:$A$38,"&gt;"&amp;$A$35)</f>
        <v>0</v>
      </c>
      <c r="AE35" s="203">
        <f>ROUND(AD35/AD$9,2)</f>
        <v>0</v>
      </c>
      <c r="AF35" s="203">
        <f>AE35-AG35</f>
        <v>0</v>
      </c>
      <c r="AG35" s="203">
        <f>ROUND(AD35/AD$9*$D35,2)</f>
        <v>0</v>
      </c>
      <c r="AH35" s="202">
        <f>SUMIFS(AH$10:AH$38,$A$10:$A$38,"&lt;"&amp;#REF!,$A$10:$A$38,"&gt;"&amp;$A$35)</f>
        <v>0</v>
      </c>
      <c r="AI35" s="203">
        <f>ROUND(AH35/AH$9,2)</f>
        <v>0</v>
      </c>
      <c r="AJ35" s="203">
        <f>AI35-AK35</f>
        <v>0</v>
      </c>
      <c r="AK35" s="203">
        <f>ROUND(AH35/AH$9*$D35,2)</f>
        <v>0</v>
      </c>
      <c r="AL35" s="202">
        <f>SUMIFS(AL$10:AL$38,$A$10:$A$38,"&lt;"&amp;#REF!,$A$10:$A$38,"&gt;"&amp;$A$35)</f>
        <v>0</v>
      </c>
      <c r="AM35" s="203">
        <f>ROUND(AL35/AL$9,2)</f>
        <v>0</v>
      </c>
      <c r="AN35" s="203">
        <f>AM35-AO35</f>
        <v>0</v>
      </c>
      <c r="AO35" s="203">
        <f>ROUND(AL35/AL$9*$D35,2)</f>
        <v>0</v>
      </c>
      <c r="AP35" s="202">
        <f>SUMIFS(AP$10:AP$38,$A$10:$A$38,"&lt;"&amp;#REF!,$A$10:$A$38,"&gt;"&amp;$A$35)</f>
        <v>0</v>
      </c>
      <c r="AQ35" s="203">
        <f>ROUND(AP35/AP$9,2)</f>
        <v>0</v>
      </c>
      <c r="AR35" s="203">
        <f>AQ35-AS35</f>
        <v>0</v>
      </c>
      <c r="AS35" s="203">
        <f>ROUND(AP35/AP$9*$D35,2)</f>
        <v>0</v>
      </c>
      <c r="AT35" s="202">
        <f>SUMIFS(AT$10:AT$38,$A$10:$A$38,"&lt;"&amp;#REF!,$A$10:$A$38,"&gt;"&amp;$A$35)</f>
        <v>0</v>
      </c>
      <c r="AU35" s="203">
        <f>ROUND(AT35/AT$9,2)</f>
        <v>0</v>
      </c>
      <c r="AV35" s="203">
        <f>AU35-AW35</f>
        <v>0</v>
      </c>
      <c r="AW35" s="203">
        <f>ROUND(AT35/AT$9*$D35,2)</f>
        <v>0</v>
      </c>
      <c r="AX35" s="202">
        <f>SUMIFS(AX$10:AX$38,$A$10:$A$38,"&lt;"&amp;#REF!,$A$10:$A$38,"&gt;"&amp;$A$35)</f>
        <v>0</v>
      </c>
      <c r="AY35" s="203">
        <f>ROUND(AX35/AX$9,2)</f>
        <v>0</v>
      </c>
      <c r="AZ35" s="203">
        <f>AY35-BA35</f>
        <v>0</v>
      </c>
      <c r="BA35" s="203">
        <f>ROUND(AX35/AX$9*$D35,2)</f>
        <v>0</v>
      </c>
      <c r="BB35" s="202">
        <f>SUMIFS(BB$10:BB$38,$A$10:$A$38,"&lt;"&amp;#REF!,$A$10:$A$38,"&gt;"&amp;$A$35)</f>
        <v>0</v>
      </c>
      <c r="BC35" s="203">
        <f>ROUND(BB35/BB$9,2)</f>
        <v>0</v>
      </c>
      <c r="BD35" s="203">
        <f>BC35-BE35</f>
        <v>0</v>
      </c>
      <c r="BE35" s="203">
        <f>ROUND(BB35/BB$9*$D35,2)</f>
        <v>0</v>
      </c>
      <c r="BF35" s="202">
        <f>SUMIFS(BF$10:BF$38,$A$10:$A$38,"&lt;"&amp;#REF!,$A$10:$A$38,"&gt;"&amp;$A$35)</f>
        <v>0</v>
      </c>
      <c r="BG35" s="203">
        <f>ROUND(BF35/BF$9,2)</f>
        <v>0</v>
      </c>
      <c r="BH35" s="203">
        <f>BG35-BI35</f>
        <v>0</v>
      </c>
      <c r="BI35" s="203">
        <f>ROUND(BF35/BF$9*$D35,2)</f>
        <v>0</v>
      </c>
      <c r="BJ35" s="129">
        <f>SUM(BJ36:BJ38)</f>
        <v>275142.96999999997</v>
      </c>
      <c r="BK35" s="52">
        <f t="shared" si="0"/>
        <v>0.22626464864297985</v>
      </c>
      <c r="BL35" s="122">
        <f t="shared" si="1"/>
        <v>940879.82299999986</v>
      </c>
      <c r="BM35" s="180">
        <f>G35+K35+O35+S35+W35+AA35+AE35+AI35+AM35+AQ35+AU35+AY35+BC35+BG35</f>
        <v>256657.47</v>
      </c>
      <c r="BN35" s="51">
        <f>I35+M35+Q35+U35+Y35+AC35+AG35+AK35+AO35+AS35+AW35+BA35+BE35+BI35</f>
        <v>218158.86</v>
      </c>
      <c r="BO35" s="52">
        <f>BN35/E35</f>
        <v>0.2186784180534532</v>
      </c>
      <c r="BP35" s="130">
        <f>E35-BN35</f>
        <v>779465.24</v>
      </c>
      <c r="BQ35" s="227">
        <v>0</v>
      </c>
      <c r="BR35" s="227">
        <v>476950</v>
      </c>
      <c r="BS35" s="227">
        <v>302515.24</v>
      </c>
    </row>
    <row r="36" spans="1:71" s="19" customFormat="1">
      <c r="A36" s="159">
        <v>5.0999999999999996</v>
      </c>
      <c r="B36" s="160" t="s">
        <v>201</v>
      </c>
      <c r="C36" s="161">
        <v>44103.97</v>
      </c>
      <c r="D36" s="142"/>
      <c r="E36" s="132"/>
      <c r="F36" s="204">
        <v>2448.54</v>
      </c>
      <c r="G36" s="205"/>
      <c r="H36" s="205"/>
      <c r="I36" s="205"/>
      <c r="J36" s="204">
        <v>4897.09</v>
      </c>
      <c r="K36" s="206"/>
      <c r="L36" s="206"/>
      <c r="M36" s="206"/>
      <c r="N36" s="204">
        <v>5007.9399999999996</v>
      </c>
      <c r="O36" s="206"/>
      <c r="P36" s="206"/>
      <c r="Q36" s="206"/>
      <c r="R36" s="204"/>
      <c r="S36" s="206"/>
      <c r="T36" s="206"/>
      <c r="U36" s="206"/>
      <c r="V36" s="204"/>
      <c r="W36" s="206"/>
      <c r="X36" s="206"/>
      <c r="Y36" s="206"/>
      <c r="Z36" s="204"/>
      <c r="AA36" s="206"/>
      <c r="AB36" s="206"/>
      <c r="AC36" s="206"/>
      <c r="AD36" s="204"/>
      <c r="AE36" s="206"/>
      <c r="AF36" s="206"/>
      <c r="AG36" s="206"/>
      <c r="AH36" s="204"/>
      <c r="AI36" s="206"/>
      <c r="AJ36" s="206"/>
      <c r="AK36" s="206"/>
      <c r="AL36" s="204"/>
      <c r="AM36" s="206"/>
      <c r="AN36" s="206"/>
      <c r="AO36" s="206"/>
      <c r="AP36" s="204"/>
      <c r="AQ36" s="206"/>
      <c r="AR36" s="206"/>
      <c r="AS36" s="206"/>
      <c r="AT36" s="204"/>
      <c r="AU36" s="206"/>
      <c r="AV36" s="206"/>
      <c r="AW36" s="206"/>
      <c r="AX36" s="204"/>
      <c r="AY36" s="206"/>
      <c r="AZ36" s="206"/>
      <c r="BA36" s="206"/>
      <c r="BB36" s="204"/>
      <c r="BC36" s="206"/>
      <c r="BD36" s="206"/>
      <c r="BE36" s="206"/>
      <c r="BF36" s="204"/>
      <c r="BG36" s="206"/>
      <c r="BH36" s="206"/>
      <c r="BI36" s="206"/>
      <c r="BJ36" s="131">
        <f t="shared" si="2"/>
        <v>12353.57</v>
      </c>
      <c r="BK36" s="54">
        <f t="shared" si="0"/>
        <v>0.2801010884054202</v>
      </c>
      <c r="BL36" s="123">
        <f t="shared" si="1"/>
        <v>31750.400000000001</v>
      </c>
      <c r="BM36" s="181"/>
      <c r="BN36" s="53"/>
      <c r="BO36" s="53"/>
      <c r="BP36" s="132"/>
      <c r="BQ36" s="222"/>
      <c r="BR36" s="222"/>
      <c r="BS36" s="222"/>
    </row>
    <row r="37" spans="1:71" s="19" customFormat="1">
      <c r="A37" s="159">
        <v>5.2</v>
      </c>
      <c r="B37" s="160" t="s">
        <v>195</v>
      </c>
      <c r="C37" s="161">
        <v>79552.892999999996</v>
      </c>
      <c r="D37" s="142"/>
      <c r="E37" s="132"/>
      <c r="F37" s="204">
        <f>171.4+6100.58</f>
        <v>6271.98</v>
      </c>
      <c r="G37" s="205"/>
      <c r="H37" s="205"/>
      <c r="I37" s="205"/>
      <c r="J37" s="204">
        <f>342.78+8091.53</f>
        <v>8434.31</v>
      </c>
      <c r="K37" s="206"/>
      <c r="L37" s="206"/>
      <c r="M37" s="206"/>
      <c r="N37" s="204">
        <f>350.54+2943.13</f>
        <v>3293.67</v>
      </c>
      <c r="O37" s="206"/>
      <c r="P37" s="206"/>
      <c r="Q37" s="206"/>
      <c r="R37" s="204"/>
      <c r="S37" s="206"/>
      <c r="T37" s="206"/>
      <c r="U37" s="206"/>
      <c r="V37" s="204"/>
      <c r="W37" s="206"/>
      <c r="X37" s="206"/>
      <c r="Y37" s="206"/>
      <c r="Z37" s="204"/>
      <c r="AA37" s="206"/>
      <c r="AB37" s="206"/>
      <c r="AC37" s="206"/>
      <c r="AD37" s="204"/>
      <c r="AE37" s="206"/>
      <c r="AF37" s="206"/>
      <c r="AG37" s="206"/>
      <c r="AH37" s="204"/>
      <c r="AI37" s="206"/>
      <c r="AJ37" s="206"/>
      <c r="AK37" s="206"/>
      <c r="AL37" s="204"/>
      <c r="AM37" s="206"/>
      <c r="AN37" s="206"/>
      <c r="AO37" s="206"/>
      <c r="AP37" s="204"/>
      <c r="AQ37" s="206"/>
      <c r="AR37" s="206"/>
      <c r="AS37" s="206"/>
      <c r="AT37" s="204"/>
      <c r="AU37" s="206"/>
      <c r="AV37" s="206"/>
      <c r="AW37" s="206"/>
      <c r="AX37" s="204"/>
      <c r="AY37" s="206"/>
      <c r="AZ37" s="206"/>
      <c r="BA37" s="206"/>
      <c r="BB37" s="204"/>
      <c r="BC37" s="206"/>
      <c r="BD37" s="206"/>
      <c r="BE37" s="206"/>
      <c r="BF37" s="204"/>
      <c r="BG37" s="206"/>
      <c r="BH37" s="206"/>
      <c r="BI37" s="206"/>
      <c r="BJ37" s="131">
        <f t="shared" ref="BJ37" si="7">SUM(F37:BI37)</f>
        <v>17999.96</v>
      </c>
      <c r="BK37" s="54">
        <f t="shared" ref="BK37" si="8">BJ37/C37</f>
        <v>0.22626405302444499</v>
      </c>
      <c r="BL37" s="123">
        <f t="shared" ref="BL37" si="9">C37-BJ37</f>
        <v>61552.932999999997</v>
      </c>
      <c r="BM37" s="181"/>
      <c r="BN37" s="53"/>
      <c r="BO37" s="53"/>
      <c r="BP37" s="132"/>
      <c r="BQ37" s="222"/>
      <c r="BR37" s="222"/>
      <c r="BS37" s="222"/>
    </row>
    <row r="38" spans="1:71" s="19" customFormat="1" ht="39" thickBot="1">
      <c r="A38" s="159">
        <v>5.3</v>
      </c>
      <c r="B38" s="160" t="s">
        <v>202</v>
      </c>
      <c r="C38" s="161">
        <v>1092365.93</v>
      </c>
      <c r="D38" s="142"/>
      <c r="E38" s="132"/>
      <c r="F38" s="204">
        <v>87151.56</v>
      </c>
      <c r="G38" s="205"/>
      <c r="H38" s="205"/>
      <c r="I38" s="205"/>
      <c r="J38" s="204">
        <v>115593.4</v>
      </c>
      <c r="K38" s="206"/>
      <c r="L38" s="206"/>
      <c r="M38" s="206"/>
      <c r="N38" s="204">
        <v>42044.480000000003</v>
      </c>
      <c r="O38" s="206"/>
      <c r="P38" s="206"/>
      <c r="Q38" s="206"/>
      <c r="R38" s="204"/>
      <c r="S38" s="206"/>
      <c r="T38" s="206"/>
      <c r="U38" s="206"/>
      <c r="V38" s="204"/>
      <c r="W38" s="206"/>
      <c r="X38" s="206"/>
      <c r="Y38" s="206"/>
      <c r="Z38" s="204"/>
      <c r="AA38" s="206"/>
      <c r="AB38" s="206"/>
      <c r="AC38" s="206"/>
      <c r="AD38" s="204"/>
      <c r="AE38" s="206"/>
      <c r="AF38" s="206"/>
      <c r="AG38" s="206"/>
      <c r="AH38" s="204"/>
      <c r="AI38" s="206"/>
      <c r="AJ38" s="206"/>
      <c r="AK38" s="206"/>
      <c r="AL38" s="204"/>
      <c r="AM38" s="206"/>
      <c r="AN38" s="206"/>
      <c r="AO38" s="206"/>
      <c r="AP38" s="204"/>
      <c r="AQ38" s="206"/>
      <c r="AR38" s="206"/>
      <c r="AS38" s="206"/>
      <c r="AT38" s="204"/>
      <c r="AU38" s="206"/>
      <c r="AV38" s="206"/>
      <c r="AW38" s="206"/>
      <c r="AX38" s="204"/>
      <c r="AY38" s="206"/>
      <c r="AZ38" s="206"/>
      <c r="BA38" s="206"/>
      <c r="BB38" s="204"/>
      <c r="BC38" s="206"/>
      <c r="BD38" s="206"/>
      <c r="BE38" s="206"/>
      <c r="BF38" s="204"/>
      <c r="BG38" s="206"/>
      <c r="BH38" s="206"/>
      <c r="BI38" s="206"/>
      <c r="BJ38" s="131">
        <f t="shared" si="2"/>
        <v>244789.44</v>
      </c>
      <c r="BK38" s="54">
        <f t="shared" si="0"/>
        <v>0.22409106076752139</v>
      </c>
      <c r="BL38" s="123">
        <f t="shared" si="1"/>
        <v>847576.49</v>
      </c>
      <c r="BM38" s="181"/>
      <c r="BN38" s="53"/>
      <c r="BO38" s="53"/>
      <c r="BP38" s="132"/>
      <c r="BQ38" s="222"/>
      <c r="BR38" s="222"/>
      <c r="BS38" s="222"/>
    </row>
    <row r="39" spans="1:71" s="20" customFormat="1" ht="13.5" thickBot="1">
      <c r="A39" s="135"/>
      <c r="B39" s="136" t="s">
        <v>203</v>
      </c>
      <c r="C39" s="136">
        <f>C10+C16+C24+C29+C35</f>
        <v>22671890.112400003</v>
      </c>
      <c r="D39" s="143">
        <f>ROUND(E39*C9/C39,4)</f>
        <v>0.85</v>
      </c>
      <c r="E39" s="139">
        <f t="shared" ref="E39:Q39" si="10">E10+E16+E24+E29+E35</f>
        <v>18600000</v>
      </c>
      <c r="F39" s="207">
        <f t="shared" si="10"/>
        <v>212843.74</v>
      </c>
      <c r="G39" s="208">
        <f t="shared" si="10"/>
        <v>198881.19</v>
      </c>
      <c r="H39" s="208">
        <f t="shared" si="10"/>
        <v>29832.170000000002</v>
      </c>
      <c r="I39" s="208">
        <f t="shared" si="10"/>
        <v>169049.02</v>
      </c>
      <c r="J39" s="207">
        <f t="shared" si="10"/>
        <v>810594.40000000014</v>
      </c>
      <c r="K39" s="208">
        <f t="shared" si="10"/>
        <v>733912.17</v>
      </c>
      <c r="L39" s="208">
        <f t="shared" si="10"/>
        <v>110086.84000000004</v>
      </c>
      <c r="M39" s="208">
        <f t="shared" si="10"/>
        <v>623825.32999999996</v>
      </c>
      <c r="N39" s="208">
        <f t="shared" si="10"/>
        <v>1269565.3600000001</v>
      </c>
      <c r="O39" s="208">
        <f t="shared" si="10"/>
        <v>1269565.3600000001</v>
      </c>
      <c r="P39" s="208">
        <f t="shared" si="10"/>
        <v>190434.79999999996</v>
      </c>
      <c r="Q39" s="208">
        <f t="shared" si="10"/>
        <v>1079130.56</v>
      </c>
      <c r="R39" s="207" t="e">
        <f>R10+R16+R24+R29+R35+#REF!+#REF!+#REF!+#REF!+#REF!</f>
        <v>#REF!</v>
      </c>
      <c r="S39" s="208" t="e">
        <f>S10+S16+S24+S29+S35+#REF!+#REF!+#REF!+#REF!+#REF!</f>
        <v>#REF!</v>
      </c>
      <c r="T39" s="208" t="e">
        <f>T10+T16+T24+T29+T35+#REF!+#REF!+#REF!+#REF!+#REF!</f>
        <v>#REF!</v>
      </c>
      <c r="U39" s="208" t="e">
        <f>U10+U16+U24+U29+U35+#REF!+#REF!+#REF!+#REF!+#REF!</f>
        <v>#REF!</v>
      </c>
      <c r="V39" s="207" t="e">
        <f>V10+V16+V24+V29+V35+#REF!+#REF!+#REF!+#REF!+#REF!</f>
        <v>#REF!</v>
      </c>
      <c r="W39" s="208" t="e">
        <f>W10+W16+W24+W29+W35+#REF!+#REF!+#REF!+#REF!+#REF!</f>
        <v>#REF!</v>
      </c>
      <c r="X39" s="208" t="e">
        <f>X10+X16+X24+X29+X35+#REF!+#REF!+#REF!+#REF!+#REF!</f>
        <v>#REF!</v>
      </c>
      <c r="Y39" s="208" t="e">
        <f>Y10+Y16+Y24+Y29+Y35+#REF!+#REF!+#REF!+#REF!+#REF!</f>
        <v>#REF!</v>
      </c>
      <c r="Z39" s="207" t="e">
        <f>Z10+Z16+Z24+Z29+Z35+#REF!+#REF!+#REF!+#REF!+#REF!</f>
        <v>#REF!</v>
      </c>
      <c r="AA39" s="208" t="e">
        <f>AA10+AA16+AA24+AA29+AA35+#REF!+#REF!+#REF!+#REF!+#REF!</f>
        <v>#REF!</v>
      </c>
      <c r="AB39" s="208" t="e">
        <f>AB10+AB16+AB24+AB29+AB35+#REF!+#REF!+#REF!+#REF!+#REF!</f>
        <v>#REF!</v>
      </c>
      <c r="AC39" s="208" t="e">
        <f>AC10+AC16+AC24+AC29+AC35+#REF!+#REF!+#REF!+#REF!+#REF!</f>
        <v>#REF!</v>
      </c>
      <c r="AD39" s="207" t="e">
        <f>AD10+AD16+AD24+AD29+AD35+#REF!+#REF!+#REF!+#REF!+#REF!</f>
        <v>#REF!</v>
      </c>
      <c r="AE39" s="208" t="e">
        <f>AE10+AE16+AE24+AE29+AE35+#REF!+#REF!+#REF!+#REF!+#REF!</f>
        <v>#REF!</v>
      </c>
      <c r="AF39" s="208" t="e">
        <f>AF10+AF16+AF24+AF29+AF35+#REF!+#REF!+#REF!+#REF!+#REF!</f>
        <v>#REF!</v>
      </c>
      <c r="AG39" s="208" t="e">
        <f>AG10+AG16+AG24+AG29+AG35+#REF!+#REF!+#REF!+#REF!+#REF!</f>
        <v>#REF!</v>
      </c>
      <c r="AH39" s="207" t="e">
        <f>AH10+AH16+AH24+AH29+AH35+#REF!+#REF!+#REF!+#REF!+#REF!</f>
        <v>#REF!</v>
      </c>
      <c r="AI39" s="208" t="e">
        <f>AI10+AI16+AI24+AI29+AI35+#REF!+#REF!+#REF!+#REF!+#REF!</f>
        <v>#REF!</v>
      </c>
      <c r="AJ39" s="208" t="e">
        <f>AJ10+AJ16+AJ24+AJ29+AJ35+#REF!+#REF!+#REF!+#REF!+#REF!</f>
        <v>#REF!</v>
      </c>
      <c r="AK39" s="208" t="e">
        <f>AK10+AK16+AK24+AK29+AK35+#REF!+#REF!+#REF!+#REF!+#REF!</f>
        <v>#REF!</v>
      </c>
      <c r="AL39" s="207" t="e">
        <f>AL10+AL16+AL24+AL29+AL35+#REF!+#REF!+#REF!+#REF!+#REF!</f>
        <v>#REF!</v>
      </c>
      <c r="AM39" s="208" t="e">
        <f>AM10+AM16+AM24+AM29+AM35+#REF!+#REF!+#REF!+#REF!+#REF!</f>
        <v>#REF!</v>
      </c>
      <c r="AN39" s="208" t="e">
        <f>AN10+AN16+AN24+AN29+AN35+#REF!+#REF!+#REF!+#REF!+#REF!</f>
        <v>#REF!</v>
      </c>
      <c r="AO39" s="208" t="e">
        <f>AO10+AO16+AO24+AO29+AO35+#REF!+#REF!+#REF!+#REF!+#REF!</f>
        <v>#REF!</v>
      </c>
      <c r="AP39" s="207" t="e">
        <f>AP10+AP16+AP24+AP29+AP35+#REF!+#REF!+#REF!+#REF!+#REF!</f>
        <v>#REF!</v>
      </c>
      <c r="AQ39" s="208" t="e">
        <f>AQ10+AQ16+AQ24+AQ29+AQ35+#REF!+#REF!+#REF!+#REF!+#REF!</f>
        <v>#REF!</v>
      </c>
      <c r="AR39" s="208" t="e">
        <f>AR10+AR16+AR24+AR29+AR35+#REF!+#REF!+#REF!+#REF!+#REF!</f>
        <v>#REF!</v>
      </c>
      <c r="AS39" s="208" t="e">
        <f>AS10+AS16+AS24+AS29+AS35+#REF!+#REF!+#REF!+#REF!+#REF!</f>
        <v>#REF!</v>
      </c>
      <c r="AT39" s="207" t="e">
        <f>AT10+AT16+AT24+AT29+AT35+#REF!+#REF!+#REF!+#REF!+#REF!</f>
        <v>#REF!</v>
      </c>
      <c r="AU39" s="208" t="e">
        <f>AU10+AU16+AU24+AU29+AU35+#REF!+#REF!+#REF!+#REF!+#REF!</f>
        <v>#REF!</v>
      </c>
      <c r="AV39" s="208" t="e">
        <f>AV10+AV16+AV24+AV29+AV35+#REF!+#REF!+#REF!+#REF!+#REF!</f>
        <v>#REF!</v>
      </c>
      <c r="AW39" s="208" t="e">
        <f>AW10+AW16+AW24+AW29+AW35+#REF!+#REF!+#REF!+#REF!+#REF!</f>
        <v>#REF!</v>
      </c>
      <c r="AX39" s="207" t="e">
        <f>AX10+AX16+AX24+AX29+AX35+#REF!+#REF!+#REF!+#REF!+#REF!</f>
        <v>#REF!</v>
      </c>
      <c r="AY39" s="208" t="e">
        <f>AY10+AY16+AY24+AY29+AY35+#REF!+#REF!+#REF!+#REF!+#REF!</f>
        <v>#REF!</v>
      </c>
      <c r="AZ39" s="208" t="e">
        <f>AZ10+AZ16+AZ24+AZ29+AZ35+#REF!+#REF!+#REF!+#REF!+#REF!</f>
        <v>#REF!</v>
      </c>
      <c r="BA39" s="208" t="e">
        <f>BA10+BA16+BA24+BA29+BA35+#REF!+#REF!+#REF!+#REF!+#REF!</f>
        <v>#REF!</v>
      </c>
      <c r="BB39" s="207" t="e">
        <f>BB10+BB16+BB24+BB29+BB35+#REF!+#REF!+#REF!+#REF!+#REF!</f>
        <v>#REF!</v>
      </c>
      <c r="BC39" s="208" t="e">
        <f>BC10+BC16+BC24+BC29+BC35+#REF!+#REF!+#REF!+#REF!+#REF!</f>
        <v>#REF!</v>
      </c>
      <c r="BD39" s="208" t="e">
        <f>BD10+BD16+BD24+BD29+BD35+#REF!+#REF!+#REF!+#REF!+#REF!</f>
        <v>#REF!</v>
      </c>
      <c r="BE39" s="208" t="e">
        <f>BE10+BE16+BE24+BE29+BE35+#REF!+#REF!+#REF!+#REF!+#REF!</f>
        <v>#REF!</v>
      </c>
      <c r="BF39" s="207" t="e">
        <f>BF10+BF16+BF24+BF29+BF35+#REF!+#REF!+#REF!+#REF!+#REF!</f>
        <v>#REF!</v>
      </c>
      <c r="BG39" s="208" t="e">
        <f>BG10+BG16+BG24+BG29+BG35+#REF!+#REF!+#REF!+#REF!+#REF!</f>
        <v>#REF!</v>
      </c>
      <c r="BH39" s="208" t="e">
        <f>BH10+BH16+BH24+BH29+BH35+#REF!+#REF!+#REF!+#REF!+#REF!</f>
        <v>#REF!</v>
      </c>
      <c r="BI39" s="208" t="e">
        <f>BI10+BI16+BI24+BI29+BI35+#REF!+#REF!+#REF!+#REF!+#REF!</f>
        <v>#REF!</v>
      </c>
      <c r="BJ39" s="135">
        <f>BJ10+BJ16+BJ24+BJ29+BJ35</f>
        <v>2293003.5</v>
      </c>
      <c r="BK39" s="138">
        <f t="shared" ref="BK39" si="11">BJ39/C39</f>
        <v>0.10113861211535605</v>
      </c>
      <c r="BL39" s="137">
        <f t="shared" ref="BL39" si="12">C39-BJ39</f>
        <v>20378886.612400003</v>
      </c>
      <c r="BM39" s="182">
        <f>BM10+BM16+BM24+BM29+BM35</f>
        <v>2202358.7199999997</v>
      </c>
      <c r="BN39" s="136">
        <f>BN10+BN16+BN24+BN29+BN35</f>
        <v>1872004.9100000001</v>
      </c>
      <c r="BO39" s="138">
        <f>BN39/E39</f>
        <v>0.10064542526881722</v>
      </c>
      <c r="BP39" s="137">
        <f>E39-BN39</f>
        <v>16727995.09</v>
      </c>
      <c r="BQ39" s="135">
        <f>BQ10+BQ16+BQ24+BQ29+BQ35</f>
        <v>0</v>
      </c>
      <c r="BR39" s="135">
        <f t="shared" ref="BR39:BS39" si="13">BR10+BR16+BR24+BR29+BR35</f>
        <v>5402960</v>
      </c>
      <c r="BS39" s="135">
        <f t="shared" si="13"/>
        <v>11325035.09</v>
      </c>
    </row>
    <row r="40" spans="1:71" s="20" customFormat="1" ht="20.45" customHeight="1">
      <c r="A40" s="174"/>
      <c r="B40" s="174"/>
      <c r="C40" s="174"/>
      <c r="D40" s="175"/>
      <c r="E40" s="174"/>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4"/>
      <c r="BK40" s="177"/>
      <c r="BL40" s="174"/>
      <c r="BM40" s="174"/>
      <c r="BN40" s="174"/>
      <c r="BO40" s="177"/>
      <c r="BP40" s="174"/>
      <c r="BQ40" s="174"/>
      <c r="BR40" s="174"/>
      <c r="BS40" s="228"/>
    </row>
    <row r="41" spans="1:71" ht="38.25" customHeight="1">
      <c r="A41" s="272" t="s">
        <v>204</v>
      </c>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S41" s="15"/>
    </row>
    <row r="42" spans="1:71" ht="123" customHeight="1">
      <c r="A42" s="270" t="s">
        <v>368</v>
      </c>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c r="BK42" s="271"/>
      <c r="BL42" s="271"/>
      <c r="BM42" s="271"/>
      <c r="BN42" s="271"/>
      <c r="BO42" s="271"/>
      <c r="BP42" s="271"/>
      <c r="BS42" s="15"/>
    </row>
    <row r="43" spans="1:71" ht="38.25" customHeight="1">
      <c r="A43" s="273" t="s">
        <v>205</v>
      </c>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4"/>
      <c r="BL43" s="274"/>
      <c r="BM43" s="274"/>
      <c r="BN43" s="274"/>
      <c r="BO43" s="274"/>
      <c r="BP43" s="274"/>
      <c r="BS43" s="15"/>
    </row>
    <row r="44" spans="1:71" ht="27" customHeight="1">
      <c r="A44" s="270" t="s">
        <v>206</v>
      </c>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c r="BK44" s="271"/>
      <c r="BL44" s="271"/>
      <c r="BM44" s="271"/>
      <c r="BN44" s="271"/>
      <c r="BO44" s="271"/>
      <c r="BP44" s="271"/>
      <c r="BS44" s="15"/>
    </row>
    <row r="45" spans="1:71" ht="43.5" customHeight="1">
      <c r="A45" s="273" t="s">
        <v>207</v>
      </c>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275"/>
      <c r="BE45" s="275"/>
      <c r="BF45" s="275"/>
      <c r="BG45" s="275"/>
      <c r="BH45" s="275"/>
      <c r="BI45" s="275"/>
      <c r="BJ45" s="275"/>
      <c r="BK45" s="275"/>
      <c r="BL45" s="275"/>
      <c r="BM45" s="275"/>
      <c r="BN45" s="275"/>
      <c r="BO45" s="275"/>
      <c r="BP45" s="275"/>
      <c r="BS45" s="15"/>
    </row>
    <row r="46" spans="1:71" ht="32.25" customHeight="1">
      <c r="A46" s="270" t="s">
        <v>208</v>
      </c>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1"/>
      <c r="BP46" s="271"/>
      <c r="BS46" s="15"/>
    </row>
    <row r="47" spans="1:71" ht="53.25" customHeight="1">
      <c r="A47" s="272" t="s">
        <v>209</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S47" s="15"/>
    </row>
    <row r="48" spans="1:71" ht="38.25" customHeight="1">
      <c r="A48" s="270" t="s">
        <v>210</v>
      </c>
      <c r="B48" s="271"/>
      <c r="C48" s="271"/>
      <c r="D48" s="271"/>
      <c r="E48" s="271"/>
      <c r="F48" s="271"/>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c r="BK48" s="271"/>
      <c r="BL48" s="271"/>
      <c r="BM48" s="271"/>
      <c r="BN48" s="271"/>
      <c r="BO48" s="271"/>
      <c r="BP48" s="271"/>
      <c r="BS48" s="15"/>
    </row>
    <row r="49" spans="1:71" ht="54" customHeight="1">
      <c r="A49" s="262" t="s">
        <v>211</v>
      </c>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S49" s="15"/>
    </row>
    <row r="50" spans="1:71" ht="42" customHeight="1">
      <c r="A50" s="270" t="s">
        <v>212</v>
      </c>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1"/>
      <c r="BP50" s="271"/>
      <c r="BS50" s="15"/>
    </row>
    <row r="52" spans="1:71">
      <c r="B52" s="16"/>
      <c r="C52" s="16"/>
    </row>
    <row r="53" spans="1:71">
      <c r="B53" s="16"/>
    </row>
    <row r="54" spans="1:71">
      <c r="B54" s="243"/>
    </row>
    <row r="56" spans="1:71">
      <c r="B56" s="260"/>
    </row>
  </sheetData>
  <sheetProtection formatColumns="0"/>
  <customSheetViews>
    <customSheetView guid="{18716E43-88F1-44DC-AE73-ADDC61118D9F}" fitToPage="1" hiddenColumns="1" topLeftCell="A11">
      <selection activeCell="A27" sqref="A27:R27"/>
      <pageMargins left="0" right="0" top="0" bottom="0" header="0" footer="0"/>
      <pageSetup paperSize="9" scale="84" fitToHeight="6" orientation="landscape"/>
      <headerFooter alignWithMargins="0"/>
    </customSheetView>
  </customSheetViews>
  <mergeCells count="33">
    <mergeCell ref="BQ4:BS4"/>
    <mergeCell ref="BQ6:BS6"/>
    <mergeCell ref="A1:BP1"/>
    <mergeCell ref="A2:BP2"/>
    <mergeCell ref="A3:BP3"/>
    <mergeCell ref="A6:C6"/>
    <mergeCell ref="BJ6:BP6"/>
    <mergeCell ref="F6:G6"/>
    <mergeCell ref="J6:K6"/>
    <mergeCell ref="N6:O6"/>
    <mergeCell ref="R6:S6"/>
    <mergeCell ref="V6:W6"/>
    <mergeCell ref="Z6:AA6"/>
    <mergeCell ref="AD6:AE6"/>
    <mergeCell ref="AH6:AI6"/>
    <mergeCell ref="AX6:AY6"/>
    <mergeCell ref="A50:BP50"/>
    <mergeCell ref="A48:BP48"/>
    <mergeCell ref="A41:BP41"/>
    <mergeCell ref="A43:BP43"/>
    <mergeCell ref="A42:BP42"/>
    <mergeCell ref="A46:BP46"/>
    <mergeCell ref="A47:BP47"/>
    <mergeCell ref="A45:BP45"/>
    <mergeCell ref="A44:BP44"/>
    <mergeCell ref="A49:BP49"/>
    <mergeCell ref="BM7:BP7"/>
    <mergeCell ref="BJ7:BL7"/>
    <mergeCell ref="AL6:AM6"/>
    <mergeCell ref="AP6:AQ6"/>
    <mergeCell ref="AT6:AU6"/>
    <mergeCell ref="BB6:BC6"/>
    <mergeCell ref="BF6:BG6"/>
  </mergeCells>
  <phoneticPr fontId="9" type="noConversion"/>
  <pageMargins left="0.23622047244094491" right="0.23622047244094491" top="0.35433070866141736" bottom="0.35433070866141736" header="0.31496062992125984" footer="0.31496062992125984"/>
  <pageSetup paperSize="8" scale="83" fitToHeight="0" orientation="landscape" r:id="rId1"/>
  <headerFooter alignWithMargins="0">
    <oddFooter>&amp;A&amp;RPage &amp;P</oddFooter>
  </headerFooter>
  <rowBreaks count="1" manualBreakCount="1">
    <brk id="40" max="16383" man="1"/>
  </rowBreaks>
  <legacyDrawing r:id="rId2"/>
  <extLst>
    <ext xmlns:x14="http://schemas.microsoft.com/office/spreadsheetml/2009/9/main" uri="{78C0D931-6437-407d-A8EE-F0AAD7539E65}">
      <x14:conditionalFormattings>
        <x14:conditionalFormatting xmlns:xm="http://schemas.microsoft.com/office/excel/2006/main">
          <x14:cfRule type="cellIs" priority="138" operator="greaterThan" id="{D56B231B-6EE2-48F3-91F1-5FF11C2AEE1B}">
            <xm:f>'Reimbursement Request'!$B$13</xm:f>
            <x14:dxf>
              <font>
                <color rgb="FFFF0000"/>
              </font>
            </x14:dxf>
          </x14:cfRule>
          <xm:sqref>E39:E40</xm:sqref>
        </x14:conditionalFormatting>
        <x14:conditionalFormatting xmlns:xm="http://schemas.microsoft.com/office/excel/2006/main">
          <x14:cfRule type="expression" priority="190" id="{223FDE79-8DDF-46BD-AF31-753403BDC853}">
            <xm:f>$F$5='Reimbursement Request'!$B$11:$I$11</xm:f>
            <x14:dxf>
              <font>
                <color theme="1"/>
              </font>
            </x14:dxf>
          </x14:cfRule>
          <xm:sqref>N5:Q5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K47"/>
  <sheetViews>
    <sheetView showWhiteSpace="0" topLeftCell="E1" zoomScale="90" zoomScaleNormal="90" zoomScalePageLayoutView="85" workbookViewId="0">
      <selection activeCell="Z20" sqref="Z20"/>
    </sheetView>
  </sheetViews>
  <sheetFormatPr defaultColWidth="9.140625" defaultRowHeight="12.75" customHeight="1"/>
  <cols>
    <col min="1" max="1" width="5.42578125" style="15" customWidth="1"/>
    <col min="2" max="2" width="11.5703125" style="21" customWidth="1"/>
    <col min="3" max="9" width="11.5703125" style="15" customWidth="1"/>
    <col min="10" max="10" width="73.85546875" style="15" customWidth="1"/>
    <col min="11" max="11" width="13" style="15" customWidth="1"/>
    <col min="12" max="16384" width="9.140625" style="15"/>
  </cols>
  <sheetData>
    <row r="1" spans="1:10" ht="21" customHeight="1">
      <c r="A1" s="434" t="str">
        <f>'Reimbursement Request'!A1:I1</f>
        <v>Swiss-Estonian Cooperation Programme</v>
      </c>
      <c r="B1" s="434"/>
      <c r="C1" s="434"/>
      <c r="D1" s="434"/>
      <c r="E1" s="434"/>
      <c r="F1" s="434"/>
      <c r="G1" s="434"/>
      <c r="H1" s="434"/>
      <c r="I1" s="434"/>
      <c r="J1" s="435"/>
    </row>
    <row r="2" spans="1:10">
      <c r="A2" s="436" t="str">
        <f>CONCATENATE('Reimbursement Request'!A3:I3," / ",'Reimbursement Request'!A2:I2)</f>
        <v>Supporting Social Inclusion / Reimbursement Request No. 3</v>
      </c>
      <c r="B2" s="436"/>
      <c r="C2" s="436"/>
      <c r="D2" s="436"/>
      <c r="E2" s="436"/>
      <c r="F2" s="436"/>
      <c r="G2" s="436"/>
      <c r="H2" s="436"/>
      <c r="I2" s="436"/>
      <c r="J2" s="436"/>
    </row>
    <row r="3" spans="1:10" ht="20.25">
      <c r="A3" s="437" t="s">
        <v>213</v>
      </c>
      <c r="B3" s="437"/>
      <c r="C3" s="437"/>
      <c r="D3" s="437"/>
      <c r="E3" s="437"/>
      <c r="F3" s="437"/>
      <c r="G3" s="437"/>
      <c r="H3" s="437"/>
      <c r="I3" s="437"/>
      <c r="J3" s="320"/>
    </row>
    <row r="4" spans="1:10" ht="15.75">
      <c r="A4" s="37"/>
      <c r="B4" s="253"/>
      <c r="C4" s="37"/>
      <c r="D4" s="37"/>
      <c r="E4" s="37"/>
      <c r="F4" s="37"/>
      <c r="G4" s="37"/>
      <c r="H4" s="37"/>
      <c r="I4" s="37"/>
      <c r="J4" s="37"/>
    </row>
    <row r="5" spans="1:10">
      <c r="A5" s="38"/>
      <c r="B5" s="39"/>
      <c r="C5" s="38"/>
      <c r="D5" s="38"/>
      <c r="E5" s="38"/>
      <c r="F5" s="38"/>
      <c r="G5" s="38"/>
      <c r="H5" s="38"/>
      <c r="I5" s="38"/>
      <c r="J5" s="39"/>
    </row>
    <row r="6" spans="1:10" ht="17.25" customHeight="1">
      <c r="A6" s="444" t="str">
        <f>'Financial Progress'!B10</f>
        <v>Management Costs</v>
      </c>
      <c r="B6" s="445"/>
      <c r="C6" s="445"/>
      <c r="D6" s="445"/>
      <c r="E6" s="445"/>
      <c r="F6" s="445"/>
      <c r="G6" s="445"/>
      <c r="H6" s="445"/>
      <c r="I6" s="445"/>
      <c r="J6" s="446"/>
    </row>
    <row r="7" spans="1:10">
      <c r="A7" s="42" t="s">
        <v>214</v>
      </c>
      <c r="B7" s="392" t="s">
        <v>215</v>
      </c>
      <c r="C7" s="402"/>
      <c r="D7" s="402"/>
      <c r="E7" s="402"/>
      <c r="F7" s="402"/>
      <c r="G7" s="402"/>
      <c r="H7" s="403"/>
      <c r="I7" s="403"/>
      <c r="J7" s="404"/>
    </row>
    <row r="8" spans="1:10" ht="93" customHeight="1">
      <c r="A8" s="242">
        <v>1.1000000000000001</v>
      </c>
      <c r="B8" s="423" t="s">
        <v>216</v>
      </c>
      <c r="C8" s="409"/>
      <c r="D8" s="409"/>
      <c r="E8" s="409"/>
      <c r="F8" s="409"/>
      <c r="G8" s="409"/>
      <c r="H8" s="409"/>
      <c r="I8" s="409"/>
      <c r="J8" s="410"/>
    </row>
    <row r="9" spans="1:10" ht="46.5" customHeight="1">
      <c r="A9" s="242">
        <v>1.2</v>
      </c>
      <c r="B9" s="441" t="s">
        <v>217</v>
      </c>
      <c r="C9" s="442"/>
      <c r="D9" s="442"/>
      <c r="E9" s="442"/>
      <c r="F9" s="442"/>
      <c r="G9" s="442"/>
      <c r="H9" s="442"/>
      <c r="I9" s="442"/>
      <c r="J9" s="443"/>
    </row>
    <row r="10" spans="1:10" ht="132.75" customHeight="1">
      <c r="A10" s="242">
        <v>1.3</v>
      </c>
      <c r="B10" s="441" t="s">
        <v>362</v>
      </c>
      <c r="C10" s="442"/>
      <c r="D10" s="442"/>
      <c r="E10" s="442"/>
      <c r="F10" s="442"/>
      <c r="G10" s="442"/>
      <c r="H10" s="442"/>
      <c r="I10" s="442"/>
      <c r="J10" s="443"/>
    </row>
    <row r="11" spans="1:10" ht="69" customHeight="1">
      <c r="A11" s="242">
        <v>1.4</v>
      </c>
      <c r="B11" s="447" t="s">
        <v>218</v>
      </c>
      <c r="C11" s="442"/>
      <c r="D11" s="442"/>
      <c r="E11" s="442"/>
      <c r="F11" s="442"/>
      <c r="G11" s="442"/>
      <c r="H11" s="442"/>
      <c r="I11" s="442"/>
      <c r="J11" s="443"/>
    </row>
    <row r="12" spans="1:10" ht="30.95" customHeight="1">
      <c r="A12" s="242">
        <v>1.5</v>
      </c>
      <c r="B12" s="441" t="s">
        <v>219</v>
      </c>
      <c r="C12" s="442"/>
      <c r="D12" s="442"/>
      <c r="E12" s="442"/>
      <c r="F12" s="442"/>
      <c r="G12" s="442"/>
      <c r="H12" s="442"/>
      <c r="I12" s="442"/>
      <c r="J12" s="443"/>
    </row>
    <row r="13" spans="1:10" ht="17.100000000000001" customHeight="1">
      <c r="A13" s="438" t="s">
        <v>220</v>
      </c>
      <c r="B13" s="439"/>
      <c r="C13" s="439"/>
      <c r="D13" s="439"/>
      <c r="E13" s="439"/>
      <c r="F13" s="439"/>
      <c r="G13" s="439"/>
      <c r="H13" s="439"/>
      <c r="I13" s="440"/>
      <c r="J13" s="233" t="s">
        <v>221</v>
      </c>
    </row>
    <row r="14" spans="1:10">
      <c r="A14" s="243"/>
      <c r="B14" s="254"/>
      <c r="C14" s="243"/>
      <c r="D14" s="243"/>
      <c r="E14" s="243"/>
      <c r="F14" s="243"/>
      <c r="G14" s="243"/>
      <c r="H14" s="243"/>
      <c r="I14" s="243"/>
      <c r="J14" s="243"/>
    </row>
    <row r="15" spans="1:10">
      <c r="A15" s="414" t="str">
        <f>'Financial Progress'!B16</f>
        <v xml:space="preserve">Programme Component 1 “Cultural and linguistic integration” </v>
      </c>
      <c r="B15" s="415"/>
      <c r="C15" s="415"/>
      <c r="D15" s="415"/>
      <c r="E15" s="415"/>
      <c r="F15" s="415"/>
      <c r="G15" s="415"/>
      <c r="H15" s="415"/>
      <c r="I15" s="415"/>
      <c r="J15" s="416"/>
    </row>
    <row r="16" spans="1:10">
      <c r="A16" s="244" t="s">
        <v>214</v>
      </c>
      <c r="B16" s="417" t="s">
        <v>215</v>
      </c>
      <c r="C16" s="418"/>
      <c r="D16" s="418"/>
      <c r="E16" s="418"/>
      <c r="F16" s="418"/>
      <c r="G16" s="418"/>
      <c r="H16" s="418"/>
      <c r="I16" s="418"/>
      <c r="J16" s="419"/>
    </row>
    <row r="17" spans="1:11" ht="93.75" customHeight="1">
      <c r="A17" s="246">
        <v>2.1</v>
      </c>
      <c r="B17" s="431" t="s">
        <v>222</v>
      </c>
      <c r="C17" s="409"/>
      <c r="D17" s="409"/>
      <c r="E17" s="409"/>
      <c r="F17" s="409"/>
      <c r="G17" s="409"/>
      <c r="H17" s="409"/>
      <c r="I17" s="409"/>
      <c r="J17" s="410"/>
      <c r="K17" s="258"/>
    </row>
    <row r="18" spans="1:11" ht="231" customHeight="1">
      <c r="A18" s="246">
        <v>2.2999999999999998</v>
      </c>
      <c r="B18" s="431" t="s">
        <v>223</v>
      </c>
      <c r="C18" s="423"/>
      <c r="D18" s="423"/>
      <c r="E18" s="423"/>
      <c r="F18" s="423"/>
      <c r="G18" s="423"/>
      <c r="H18" s="423"/>
      <c r="I18" s="423"/>
      <c r="J18" s="423"/>
      <c r="K18" s="259"/>
    </row>
    <row r="19" spans="1:11" ht="196.5" customHeight="1">
      <c r="A19" s="246">
        <v>2.4</v>
      </c>
      <c r="B19" s="395" t="s">
        <v>363</v>
      </c>
      <c r="C19" s="423"/>
      <c r="D19" s="423"/>
      <c r="E19" s="423"/>
      <c r="F19" s="423"/>
      <c r="G19" s="423"/>
      <c r="H19" s="423"/>
      <c r="I19" s="423"/>
      <c r="J19" s="423"/>
      <c r="K19" s="259"/>
    </row>
    <row r="20" spans="1:11" ht="328.5" customHeight="1">
      <c r="A20" s="246">
        <v>2.5</v>
      </c>
      <c r="B20" s="408" t="s">
        <v>224</v>
      </c>
      <c r="C20" s="409"/>
      <c r="D20" s="409"/>
      <c r="E20" s="409"/>
      <c r="F20" s="409"/>
      <c r="G20" s="409"/>
      <c r="H20" s="409"/>
      <c r="I20" s="409"/>
      <c r="J20" s="409"/>
      <c r="K20" s="258"/>
    </row>
    <row r="21" spans="1:11" ht="222.75" customHeight="1">
      <c r="A21" s="246">
        <v>2.6</v>
      </c>
      <c r="B21" s="398" t="s">
        <v>225</v>
      </c>
      <c r="C21" s="423"/>
      <c r="D21" s="423"/>
      <c r="E21" s="423"/>
      <c r="F21" s="423"/>
      <c r="G21" s="423"/>
      <c r="H21" s="423"/>
      <c r="I21" s="423"/>
      <c r="J21" s="423"/>
      <c r="K21" s="259"/>
    </row>
    <row r="22" spans="1:11" ht="96" customHeight="1">
      <c r="A22" s="246">
        <v>2.7</v>
      </c>
      <c r="B22" s="448" t="s">
        <v>226</v>
      </c>
      <c r="C22" s="406"/>
      <c r="D22" s="406"/>
      <c r="E22" s="406"/>
      <c r="F22" s="406"/>
      <c r="G22" s="406"/>
      <c r="H22" s="406"/>
      <c r="I22" s="406"/>
      <c r="J22" s="407"/>
      <c r="K22" s="258"/>
    </row>
    <row r="23" spans="1:11">
      <c r="A23" s="417" t="s">
        <v>220</v>
      </c>
      <c r="B23" s="432"/>
      <c r="C23" s="432"/>
      <c r="D23" s="432"/>
      <c r="E23" s="432"/>
      <c r="F23" s="432"/>
      <c r="G23" s="432"/>
      <c r="H23" s="432"/>
      <c r="I23" s="433"/>
      <c r="J23" s="249" t="s">
        <v>221</v>
      </c>
    </row>
    <row r="24" spans="1:11">
      <c r="A24" s="243"/>
      <c r="B24" s="254"/>
      <c r="C24" s="243"/>
      <c r="D24" s="243"/>
      <c r="E24" s="243"/>
      <c r="F24" s="243"/>
      <c r="G24" s="243"/>
      <c r="H24" s="243"/>
      <c r="I24" s="243"/>
      <c r="J24" s="243"/>
    </row>
    <row r="25" spans="1:11">
      <c r="A25" s="414" t="str">
        <f>'Financial Progress'!B24</f>
        <v>Programme Component 2 "Strengthening the social-and child protection services"</v>
      </c>
      <c r="B25" s="415"/>
      <c r="C25" s="415"/>
      <c r="D25" s="415"/>
      <c r="E25" s="415"/>
      <c r="F25" s="415"/>
      <c r="G25" s="415"/>
      <c r="H25" s="415"/>
      <c r="I25" s="415"/>
      <c r="J25" s="416"/>
    </row>
    <row r="26" spans="1:11">
      <c r="A26" s="250" t="s">
        <v>214</v>
      </c>
      <c r="B26" s="417" t="s">
        <v>215</v>
      </c>
      <c r="C26" s="418"/>
      <c r="D26" s="418"/>
      <c r="E26" s="418"/>
      <c r="F26" s="418"/>
      <c r="G26" s="418"/>
      <c r="H26" s="418"/>
      <c r="I26" s="418"/>
      <c r="J26" s="419"/>
    </row>
    <row r="27" spans="1:11" ht="95.25" customHeight="1">
      <c r="A27" s="246">
        <v>3.1</v>
      </c>
      <c r="B27" s="420" t="s">
        <v>227</v>
      </c>
      <c r="C27" s="409"/>
      <c r="D27" s="409"/>
      <c r="E27" s="409"/>
      <c r="F27" s="409"/>
      <c r="G27" s="409"/>
      <c r="H27" s="409"/>
      <c r="I27" s="409"/>
      <c r="J27" s="409"/>
      <c r="K27" s="258"/>
    </row>
    <row r="28" spans="1:11" ht="409.5" customHeight="1">
      <c r="A28" s="246">
        <v>3.2</v>
      </c>
      <c r="B28" s="421" t="s">
        <v>364</v>
      </c>
      <c r="C28" s="409"/>
      <c r="D28" s="409"/>
      <c r="E28" s="409"/>
      <c r="F28" s="409"/>
      <c r="G28" s="409"/>
      <c r="H28" s="409"/>
      <c r="I28" s="409"/>
      <c r="J28" s="409"/>
      <c r="K28" s="258"/>
    </row>
    <row r="29" spans="1:11" ht="310.5" customHeight="1">
      <c r="A29" s="248"/>
      <c r="B29" s="424" t="s">
        <v>228</v>
      </c>
      <c r="C29" s="409"/>
      <c r="D29" s="409"/>
      <c r="E29" s="409"/>
      <c r="F29" s="409"/>
      <c r="G29" s="409"/>
      <c r="H29" s="409"/>
      <c r="I29" s="409"/>
      <c r="J29" s="409"/>
      <c r="K29" s="258"/>
    </row>
    <row r="30" spans="1:11" ht="409.5" customHeight="1">
      <c r="A30" s="246">
        <v>3.3</v>
      </c>
      <c r="B30" s="425" t="s">
        <v>229</v>
      </c>
      <c r="C30" s="426"/>
      <c r="D30" s="426"/>
      <c r="E30" s="426"/>
      <c r="F30" s="426"/>
      <c r="G30" s="426"/>
      <c r="H30" s="426"/>
      <c r="I30" s="426"/>
      <c r="J30" s="427"/>
      <c r="K30" s="259"/>
    </row>
    <row r="31" spans="1:11" ht="404.25" customHeight="1">
      <c r="A31" s="247"/>
      <c r="B31" s="422" t="s">
        <v>230</v>
      </c>
      <c r="C31" s="423"/>
      <c r="D31" s="423"/>
      <c r="E31" s="423"/>
      <c r="F31" s="423"/>
      <c r="G31" s="423"/>
      <c r="H31" s="423"/>
      <c r="I31" s="423"/>
      <c r="J31" s="423"/>
      <c r="K31" s="259"/>
    </row>
    <row r="32" spans="1:11">
      <c r="A32" s="417" t="s">
        <v>220</v>
      </c>
      <c r="B32" s="432"/>
      <c r="C32" s="432"/>
      <c r="D32" s="432"/>
      <c r="E32" s="432"/>
      <c r="F32" s="432"/>
      <c r="G32" s="432"/>
      <c r="H32" s="432"/>
      <c r="I32" s="433"/>
      <c r="J32" s="251" t="s">
        <v>221</v>
      </c>
    </row>
    <row r="33" spans="1:11">
      <c r="A33" s="243"/>
      <c r="B33" s="254"/>
      <c r="C33" s="243"/>
      <c r="D33" s="243"/>
      <c r="E33" s="243"/>
      <c r="F33" s="243"/>
      <c r="G33" s="243"/>
      <c r="H33" s="243"/>
      <c r="I33" s="243"/>
      <c r="J33" s="243"/>
    </row>
    <row r="34" spans="1:11">
      <c r="A34" s="414" t="str">
        <f>'Financial Progress'!B29</f>
        <v>Programme Component 3 “Increasing multicultural competence in the education sector”</v>
      </c>
      <c r="B34" s="415"/>
      <c r="C34" s="415"/>
      <c r="D34" s="415"/>
      <c r="E34" s="415"/>
      <c r="F34" s="415"/>
      <c r="G34" s="415"/>
      <c r="H34" s="415"/>
      <c r="I34" s="415"/>
      <c r="J34" s="416"/>
    </row>
    <row r="35" spans="1:11">
      <c r="A35" s="250" t="s">
        <v>214</v>
      </c>
      <c r="B35" s="428" t="s">
        <v>215</v>
      </c>
      <c r="C35" s="429"/>
      <c r="D35" s="429"/>
      <c r="E35" s="429"/>
      <c r="F35" s="429"/>
      <c r="G35" s="429"/>
      <c r="H35" s="429"/>
      <c r="I35" s="429"/>
      <c r="J35" s="430"/>
    </row>
    <row r="36" spans="1:11" ht="75.75" customHeight="1">
      <c r="A36" s="246">
        <v>4.0999999999999996</v>
      </c>
      <c r="B36" s="431" t="s">
        <v>231</v>
      </c>
      <c r="C36" s="409"/>
      <c r="D36" s="409"/>
      <c r="E36" s="409"/>
      <c r="F36" s="409"/>
      <c r="G36" s="409"/>
      <c r="H36" s="409"/>
      <c r="I36" s="409"/>
      <c r="J36" s="410"/>
      <c r="K36" s="258"/>
    </row>
    <row r="37" spans="1:11" ht="409.5" customHeight="1">
      <c r="A37" s="246">
        <v>4.3</v>
      </c>
      <c r="B37" s="398" t="s">
        <v>232</v>
      </c>
      <c r="C37" s="409"/>
      <c r="D37" s="409"/>
      <c r="E37" s="409"/>
      <c r="F37" s="409"/>
      <c r="G37" s="409"/>
      <c r="H37" s="409"/>
      <c r="I37" s="409"/>
      <c r="J37" s="410"/>
      <c r="K37" s="258"/>
    </row>
    <row r="38" spans="1:11" ht="409.5" customHeight="1">
      <c r="A38" s="246">
        <v>4.4000000000000004</v>
      </c>
      <c r="B38" s="411" t="s">
        <v>233</v>
      </c>
      <c r="C38" s="412"/>
      <c r="D38" s="412"/>
      <c r="E38" s="412"/>
      <c r="F38" s="412"/>
      <c r="G38" s="412"/>
      <c r="H38" s="412"/>
      <c r="I38" s="412"/>
      <c r="J38" s="413"/>
      <c r="K38" s="259"/>
    </row>
    <row r="39" spans="1:11">
      <c r="A39" s="392" t="s">
        <v>220</v>
      </c>
      <c r="B39" s="393"/>
      <c r="C39" s="393"/>
      <c r="D39" s="393"/>
      <c r="E39" s="393"/>
      <c r="F39" s="393"/>
      <c r="G39" s="393"/>
      <c r="H39" s="393"/>
      <c r="I39" s="394"/>
      <c r="J39" s="251" t="s">
        <v>221</v>
      </c>
    </row>
    <row r="41" spans="1:11">
      <c r="A41" s="399" t="str">
        <f>'Financial Progress'!B35</f>
        <v>Programme Component 4 “Strengthening civil society through social innovation.”</v>
      </c>
      <c r="B41" s="400"/>
      <c r="C41" s="400"/>
      <c r="D41" s="400"/>
      <c r="E41" s="400"/>
      <c r="F41" s="400"/>
      <c r="G41" s="400"/>
      <c r="H41" s="400"/>
      <c r="I41" s="400"/>
      <c r="J41" s="401"/>
    </row>
    <row r="42" spans="1:11">
      <c r="A42" s="42" t="s">
        <v>214</v>
      </c>
      <c r="B42" s="392" t="s">
        <v>215</v>
      </c>
      <c r="C42" s="402"/>
      <c r="D42" s="402"/>
      <c r="E42" s="402"/>
      <c r="F42" s="402"/>
      <c r="G42" s="402"/>
      <c r="H42" s="403"/>
      <c r="I42" s="403"/>
      <c r="J42" s="404"/>
    </row>
    <row r="43" spans="1:11" ht="81" customHeight="1">
      <c r="A43" s="242">
        <v>5.0999999999999996</v>
      </c>
      <c r="B43" s="395" t="s">
        <v>234</v>
      </c>
      <c r="C43" s="396"/>
      <c r="D43" s="396"/>
      <c r="E43" s="396"/>
      <c r="F43" s="396"/>
      <c r="G43" s="396"/>
      <c r="H43" s="396"/>
      <c r="I43" s="396"/>
      <c r="J43" s="397"/>
      <c r="K43" s="258"/>
    </row>
    <row r="44" spans="1:11" ht="253.5" customHeight="1">
      <c r="A44" s="245">
        <v>5.3</v>
      </c>
      <c r="B44" s="405" t="s">
        <v>367</v>
      </c>
      <c r="C44" s="406"/>
      <c r="D44" s="406"/>
      <c r="E44" s="406"/>
      <c r="F44" s="406"/>
      <c r="G44" s="406"/>
      <c r="H44" s="406"/>
      <c r="I44" s="406"/>
      <c r="J44" s="407"/>
      <c r="K44" s="258"/>
    </row>
    <row r="45" spans="1:11" ht="272.10000000000002" customHeight="1">
      <c r="A45" s="252"/>
      <c r="B45" s="408" t="s">
        <v>366</v>
      </c>
      <c r="C45" s="409"/>
      <c r="D45" s="409"/>
      <c r="E45" s="409"/>
      <c r="F45" s="409"/>
      <c r="G45" s="409"/>
      <c r="H45" s="409"/>
      <c r="I45" s="409"/>
      <c r="J45" s="410"/>
      <c r="K45" s="258"/>
    </row>
    <row r="46" spans="1:11" ht="148.5" customHeight="1">
      <c r="A46" s="242"/>
      <c r="B46" s="398" t="s">
        <v>365</v>
      </c>
      <c r="C46" s="396"/>
      <c r="D46" s="396"/>
      <c r="E46" s="396"/>
      <c r="F46" s="396"/>
      <c r="G46" s="396"/>
      <c r="H46" s="396"/>
      <c r="I46" s="396"/>
      <c r="J46" s="397"/>
      <c r="K46" s="258"/>
    </row>
    <row r="47" spans="1:11">
      <c r="A47" s="392" t="s">
        <v>220</v>
      </c>
      <c r="B47" s="393"/>
      <c r="C47" s="393"/>
      <c r="D47" s="393"/>
      <c r="E47" s="393"/>
      <c r="F47" s="393"/>
      <c r="G47" s="393"/>
      <c r="H47" s="393"/>
      <c r="I47" s="394"/>
      <c r="J47" s="249" t="s">
        <v>221</v>
      </c>
    </row>
  </sheetData>
  <mergeCells count="41">
    <mergeCell ref="A23:I23"/>
    <mergeCell ref="A15:J15"/>
    <mergeCell ref="B16:J16"/>
    <mergeCell ref="B17:J17"/>
    <mergeCell ref="B18:J18"/>
    <mergeCell ref="B19:J19"/>
    <mergeCell ref="B20:J20"/>
    <mergeCell ref="B21:J21"/>
    <mergeCell ref="B22:J22"/>
    <mergeCell ref="A1:J1"/>
    <mergeCell ref="A2:J2"/>
    <mergeCell ref="A3:J3"/>
    <mergeCell ref="B7:J7"/>
    <mergeCell ref="A13:I13"/>
    <mergeCell ref="B8:J8"/>
    <mergeCell ref="B9:J9"/>
    <mergeCell ref="B10:J10"/>
    <mergeCell ref="B12:J12"/>
    <mergeCell ref="A6:J6"/>
    <mergeCell ref="B11:J11"/>
    <mergeCell ref="B38:J38"/>
    <mergeCell ref="A25:J25"/>
    <mergeCell ref="B26:J26"/>
    <mergeCell ref="B27:J27"/>
    <mergeCell ref="B28:J28"/>
    <mergeCell ref="B31:J31"/>
    <mergeCell ref="B29:J29"/>
    <mergeCell ref="B30:J30"/>
    <mergeCell ref="B35:J35"/>
    <mergeCell ref="B36:J36"/>
    <mergeCell ref="A32:I32"/>
    <mergeCell ref="A34:J34"/>
    <mergeCell ref="B37:J37"/>
    <mergeCell ref="A47:I47"/>
    <mergeCell ref="B43:J43"/>
    <mergeCell ref="B46:J46"/>
    <mergeCell ref="A39:I39"/>
    <mergeCell ref="A41:J41"/>
    <mergeCell ref="B42:J42"/>
    <mergeCell ref="B44:J44"/>
    <mergeCell ref="B45:J45"/>
  </mergeCells>
  <pageMargins left="0.7" right="0.5911764705882353" top="0.75" bottom="0.75" header="0.3" footer="0.3"/>
  <pageSetup paperSize="9" scale="62" fitToHeight="0" orientation="portrait" r:id="rId1"/>
  <headerFooter>
    <oddFooter>&amp;A&amp;RPage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V34"/>
  <sheetViews>
    <sheetView zoomScale="90" zoomScaleNormal="90" zoomScalePageLayoutView="70" workbookViewId="0">
      <selection activeCell="G10" sqref="G10"/>
    </sheetView>
  </sheetViews>
  <sheetFormatPr defaultColWidth="10.5703125" defaultRowHeight="16.5"/>
  <cols>
    <col min="1" max="1" width="5.5703125" style="22" customWidth="1"/>
    <col min="2" max="2" width="31" style="22" customWidth="1"/>
    <col min="3" max="3" width="14.42578125" style="22" customWidth="1"/>
    <col min="4" max="4" width="19.42578125" style="22" customWidth="1"/>
    <col min="5" max="5" width="17.5703125" style="22" customWidth="1"/>
    <col min="6" max="6" width="18.5703125" style="22" customWidth="1"/>
    <col min="7" max="7" width="33.5703125" style="22" customWidth="1"/>
    <col min="8" max="8" width="19.42578125" style="22" customWidth="1"/>
    <col min="9" max="9" width="10" style="22" customWidth="1"/>
    <col min="10" max="10" width="10.5703125" style="22"/>
    <col min="11" max="11" width="18.85546875" style="22" customWidth="1"/>
    <col min="12" max="12" width="17.85546875" style="22" customWidth="1"/>
    <col min="13" max="13" width="17.140625" style="22" customWidth="1"/>
    <col min="14" max="16384" width="10.5703125" style="22"/>
  </cols>
  <sheetData>
    <row r="1" spans="1:22">
      <c r="A1" s="434" t="str">
        <f>'Reimbursement Request'!A1:I1</f>
        <v>Swiss-Estonian Cooperation Programme</v>
      </c>
      <c r="B1" s="434"/>
      <c r="C1" s="434"/>
      <c r="D1" s="434"/>
      <c r="E1" s="434"/>
      <c r="F1" s="434"/>
      <c r="G1" s="434"/>
      <c r="H1" s="434"/>
      <c r="I1" s="434"/>
      <c r="J1" s="434"/>
    </row>
    <row r="2" spans="1:22">
      <c r="A2" s="455" t="str">
        <f>CONCATENATE('Reimbursement Request'!A3:I3," / ",'Reimbursement Request'!A2:I2)</f>
        <v>Supporting Social Inclusion / Reimbursement Request No. 3</v>
      </c>
      <c r="B2" s="455"/>
      <c r="C2" s="455"/>
      <c r="D2" s="455"/>
      <c r="E2" s="455"/>
      <c r="F2" s="455"/>
      <c r="G2" s="455"/>
      <c r="H2" s="455"/>
      <c r="I2" s="455"/>
      <c r="J2" s="455"/>
    </row>
    <row r="3" spans="1:22" ht="20.25">
      <c r="A3" s="437" t="s">
        <v>235</v>
      </c>
      <c r="B3" s="437"/>
      <c r="C3" s="437"/>
      <c r="D3" s="437"/>
      <c r="E3" s="437"/>
      <c r="F3" s="437"/>
      <c r="G3" s="437"/>
      <c r="H3" s="437"/>
      <c r="I3" s="437"/>
      <c r="J3" s="437"/>
    </row>
    <row r="4" spans="1:22" ht="15.75" customHeight="1">
      <c r="A4" s="37"/>
      <c r="B4" s="37"/>
      <c r="C4" s="37"/>
      <c r="D4" s="37"/>
      <c r="E4" s="37"/>
      <c r="F4" s="37"/>
      <c r="G4" s="37"/>
      <c r="H4" s="37"/>
      <c r="I4" s="37"/>
      <c r="J4" s="37"/>
    </row>
    <row r="5" spans="1:22">
      <c r="A5" s="26"/>
      <c r="B5" s="26"/>
      <c r="C5" s="26"/>
      <c r="D5" s="26"/>
      <c r="E5" s="26"/>
      <c r="F5" s="26"/>
      <c r="G5" s="26"/>
      <c r="H5" s="26"/>
      <c r="I5" s="26"/>
      <c r="J5" s="26"/>
    </row>
    <row r="6" spans="1:22">
      <c r="A6" s="458" t="s">
        <v>236</v>
      </c>
      <c r="B6" s="458"/>
      <c r="C6" s="458"/>
      <c r="D6" s="458"/>
      <c r="E6" s="458"/>
      <c r="F6" s="458"/>
      <c r="G6" s="458"/>
      <c r="H6" s="458"/>
      <c r="I6" s="458"/>
      <c r="J6" s="458"/>
      <c r="K6" s="94" t="s">
        <v>237</v>
      </c>
      <c r="L6" s="95"/>
      <c r="M6" s="95"/>
      <c r="N6" s="95"/>
      <c r="O6" s="95"/>
      <c r="P6" s="95"/>
      <c r="Q6" s="95"/>
      <c r="R6" s="96" t="s">
        <v>237</v>
      </c>
      <c r="S6" s="96"/>
      <c r="T6" s="96"/>
      <c r="U6" s="96"/>
      <c r="V6" s="96"/>
    </row>
    <row r="7" spans="1:22" s="23" customFormat="1" ht="30" customHeight="1">
      <c r="A7" s="43" t="s">
        <v>214</v>
      </c>
      <c r="B7" s="43" t="s">
        <v>238</v>
      </c>
      <c r="C7" s="101" t="s">
        <v>239</v>
      </c>
      <c r="D7" s="44" t="s">
        <v>240</v>
      </c>
      <c r="E7" s="44" t="s">
        <v>241</v>
      </c>
      <c r="F7" s="44" t="s">
        <v>242</v>
      </c>
      <c r="G7" s="44" t="s">
        <v>243</v>
      </c>
      <c r="H7" s="44" t="s">
        <v>244</v>
      </c>
      <c r="I7" s="456" t="s">
        <v>245</v>
      </c>
      <c r="J7" s="457"/>
      <c r="K7" s="97" t="s">
        <v>246</v>
      </c>
      <c r="L7" s="98" t="s">
        <v>247</v>
      </c>
      <c r="M7" s="98" t="s">
        <v>248</v>
      </c>
      <c r="N7" s="453" t="s">
        <v>249</v>
      </c>
      <c r="O7" s="453" t="s">
        <v>250</v>
      </c>
      <c r="P7" s="453" t="s">
        <v>251</v>
      </c>
      <c r="Q7" s="453" t="s">
        <v>252</v>
      </c>
      <c r="R7" s="449" t="s">
        <v>253</v>
      </c>
      <c r="S7" s="449" t="s">
        <v>254</v>
      </c>
      <c r="T7" s="449" t="s">
        <v>255</v>
      </c>
      <c r="U7" s="449" t="s">
        <v>256</v>
      </c>
      <c r="V7" s="451" t="s">
        <v>257</v>
      </c>
    </row>
    <row r="8" spans="1:22" s="23" customFormat="1" ht="25.5" customHeight="1">
      <c r="A8" s="45" t="s">
        <v>258</v>
      </c>
      <c r="B8" s="45" t="s">
        <v>259</v>
      </c>
      <c r="C8" s="46" t="s">
        <v>260</v>
      </c>
      <c r="D8" s="46" t="s">
        <v>261</v>
      </c>
      <c r="E8" s="46" t="s">
        <v>262</v>
      </c>
      <c r="F8" s="46"/>
      <c r="G8" s="46"/>
      <c r="H8" s="46"/>
      <c r="I8" s="47" t="s">
        <v>263</v>
      </c>
      <c r="J8" s="48" t="s">
        <v>264</v>
      </c>
      <c r="K8" s="99" t="s">
        <v>265</v>
      </c>
      <c r="L8" s="100" t="s">
        <v>265</v>
      </c>
      <c r="M8" s="100" t="s">
        <v>265</v>
      </c>
      <c r="N8" s="454"/>
      <c r="O8" s="454"/>
      <c r="P8" s="454"/>
      <c r="Q8" s="454"/>
      <c r="R8" s="450"/>
      <c r="S8" s="450"/>
      <c r="T8" s="450"/>
      <c r="U8" s="450"/>
      <c r="V8" s="452"/>
    </row>
    <row r="9" spans="1:22" ht="49.5">
      <c r="A9" s="119">
        <v>1</v>
      </c>
      <c r="B9" s="119" t="s">
        <v>174</v>
      </c>
      <c r="C9" s="120">
        <f>'Financial Progress'!E10</f>
        <v>1265816.92</v>
      </c>
      <c r="D9" s="163" t="s">
        <v>266</v>
      </c>
      <c r="E9" s="163" t="s">
        <v>267</v>
      </c>
      <c r="F9" s="163" t="s">
        <v>268</v>
      </c>
      <c r="G9" s="163" t="s">
        <v>13</v>
      </c>
      <c r="H9" s="163" t="s">
        <v>269</v>
      </c>
      <c r="I9" s="164">
        <v>45444</v>
      </c>
      <c r="J9" s="164">
        <v>46996</v>
      </c>
      <c r="K9" s="22" t="s">
        <v>270</v>
      </c>
      <c r="L9" s="240" t="s">
        <v>271</v>
      </c>
      <c r="M9" s="241"/>
      <c r="N9" s="241" t="s">
        <v>272</v>
      </c>
      <c r="O9" s="241" t="s">
        <v>272</v>
      </c>
      <c r="P9" s="241" t="s">
        <v>272</v>
      </c>
      <c r="Q9" s="241" t="s">
        <v>273</v>
      </c>
      <c r="R9" s="241" t="s">
        <v>272</v>
      </c>
      <c r="S9" s="241" t="s">
        <v>272</v>
      </c>
      <c r="T9" s="241" t="s">
        <v>272</v>
      </c>
      <c r="U9" s="241" t="s">
        <v>274</v>
      </c>
      <c r="V9" s="241" t="s">
        <v>272</v>
      </c>
    </row>
    <row r="10" spans="1:22" ht="49.5">
      <c r="A10" s="119">
        <v>2</v>
      </c>
      <c r="B10" s="119" t="str">
        <f>LOOKUP(A10,'Financial Progress'!$A$10:$A$38,'Financial Progress'!$B$10:$B$38)</f>
        <v xml:space="preserve">Programme Component 1 “Cultural and linguistic integration” </v>
      </c>
      <c r="C10" s="120">
        <f>LOOKUP(A10,'Financial Progress'!$A$10:$A$38,'Financial Progress'!$E$10:$E$38)</f>
        <v>5592127.2199999997</v>
      </c>
      <c r="D10" s="163" t="s">
        <v>266</v>
      </c>
      <c r="E10" s="163" t="s">
        <v>267</v>
      </c>
      <c r="F10" s="163" t="s">
        <v>268</v>
      </c>
      <c r="G10" s="163" t="s">
        <v>13</v>
      </c>
      <c r="H10" s="163" t="s">
        <v>269</v>
      </c>
      <c r="I10" s="164">
        <v>45444</v>
      </c>
      <c r="J10" s="164">
        <v>46996</v>
      </c>
      <c r="K10" s="240" t="s">
        <v>270</v>
      </c>
      <c r="L10" s="240" t="s">
        <v>271</v>
      </c>
      <c r="M10" s="241"/>
      <c r="N10" s="241" t="s">
        <v>272</v>
      </c>
      <c r="O10" s="241" t="s">
        <v>272</v>
      </c>
      <c r="P10" s="241" t="s">
        <v>272</v>
      </c>
      <c r="Q10" s="241" t="s">
        <v>273</v>
      </c>
      <c r="R10" s="241" t="s">
        <v>272</v>
      </c>
      <c r="S10" s="241" t="s">
        <v>272</v>
      </c>
      <c r="T10" s="241" t="s">
        <v>272</v>
      </c>
      <c r="U10" s="241" t="s">
        <v>274</v>
      </c>
      <c r="V10" s="241" t="s">
        <v>272</v>
      </c>
    </row>
    <row r="11" spans="1:22" ht="49.5">
      <c r="A11" s="119">
        <v>3</v>
      </c>
      <c r="B11" s="119" t="str">
        <f>LOOKUP(A11,'Financial Progress'!$A$10:$A$38,'Financial Progress'!$B$10:$B$38)</f>
        <v>Programme Component 2 "Strengthening the social-and child protection services"</v>
      </c>
      <c r="C11" s="120">
        <f>LOOKUP(A11,'Financial Progress'!$A$10:$A$38,'Financial Progress'!$E$10:$E$38)</f>
        <v>5385678.5800000001</v>
      </c>
      <c r="D11" s="163" t="s">
        <v>266</v>
      </c>
      <c r="E11" s="163" t="s">
        <v>267</v>
      </c>
      <c r="F11" s="163" t="s">
        <v>268</v>
      </c>
      <c r="G11" s="163" t="s">
        <v>275</v>
      </c>
      <c r="H11" s="163" t="s">
        <v>269</v>
      </c>
      <c r="I11" s="164">
        <v>45444</v>
      </c>
      <c r="J11" s="164">
        <v>46996</v>
      </c>
      <c r="K11" s="240" t="s">
        <v>270</v>
      </c>
      <c r="L11" s="240" t="s">
        <v>271</v>
      </c>
      <c r="M11" s="241"/>
      <c r="N11" s="241" t="s">
        <v>272</v>
      </c>
      <c r="O11" s="241" t="s">
        <v>272</v>
      </c>
      <c r="P11" s="241" t="s">
        <v>272</v>
      </c>
      <c r="Q11" s="241" t="s">
        <v>273</v>
      </c>
      <c r="R11" s="241" t="s">
        <v>272</v>
      </c>
      <c r="S11" s="241" t="s">
        <v>272</v>
      </c>
      <c r="T11" s="241" t="s">
        <v>272</v>
      </c>
      <c r="U11" s="241" t="s">
        <v>274</v>
      </c>
      <c r="V11" s="241" t="s">
        <v>272</v>
      </c>
    </row>
    <row r="12" spans="1:22">
      <c r="A12" s="119">
        <v>4</v>
      </c>
      <c r="B12" s="119" t="str">
        <f>LOOKUP(A12,'Financial Progress'!$A$10:$A$38,'Financial Progress'!$B$10:$B$38)</f>
        <v>Programme Component 3 “Increasing multicultural competence in the education sector”</v>
      </c>
      <c r="C12" s="120">
        <f>LOOKUP(A12,'Financial Progress'!$A$10:$A$38,'Financial Progress'!$E$10:$E$38)</f>
        <v>5358753.18</v>
      </c>
      <c r="D12" s="163" t="s">
        <v>266</v>
      </c>
      <c r="E12" s="163" t="s">
        <v>267</v>
      </c>
      <c r="F12" s="163" t="s">
        <v>268</v>
      </c>
      <c r="G12" s="163" t="s">
        <v>276</v>
      </c>
      <c r="H12" s="163" t="s">
        <v>269</v>
      </c>
      <c r="I12" s="164">
        <v>45444</v>
      </c>
      <c r="J12" s="164">
        <v>46996</v>
      </c>
      <c r="K12" s="240" t="s">
        <v>277</v>
      </c>
      <c r="L12" s="240"/>
      <c r="M12" s="241"/>
      <c r="N12" s="241" t="s">
        <v>272</v>
      </c>
      <c r="O12" s="241" t="s">
        <v>272</v>
      </c>
      <c r="P12" s="241" t="s">
        <v>272</v>
      </c>
      <c r="Q12" s="241" t="s">
        <v>273</v>
      </c>
      <c r="R12" s="241" t="s">
        <v>272</v>
      </c>
      <c r="S12" s="241" t="s">
        <v>272</v>
      </c>
      <c r="T12" s="241" t="s">
        <v>272</v>
      </c>
      <c r="U12" s="241" t="s">
        <v>274</v>
      </c>
      <c r="V12" s="241" t="s">
        <v>272</v>
      </c>
    </row>
    <row r="13" spans="1:22" ht="49.5">
      <c r="A13" s="119">
        <v>5</v>
      </c>
      <c r="B13" s="119" t="str">
        <f>LOOKUP(A13,'Financial Progress'!$A$10:$A$38,'Financial Progress'!$B$10:$B$38)</f>
        <v>Programme Component 4 “Strengthening civil society through social innovation.”</v>
      </c>
      <c r="C13" s="120">
        <f>LOOKUP(A13,'Financial Progress'!$A$10:$A$38,'Financial Progress'!$E$10:$E$38)</f>
        <v>997624.1</v>
      </c>
      <c r="D13" s="163" t="s">
        <v>266</v>
      </c>
      <c r="E13" s="163" t="s">
        <v>267</v>
      </c>
      <c r="F13" s="163" t="s">
        <v>268</v>
      </c>
      <c r="G13" s="163" t="s">
        <v>278</v>
      </c>
      <c r="H13" s="163" t="s">
        <v>269</v>
      </c>
      <c r="I13" s="164">
        <v>45444</v>
      </c>
      <c r="J13" s="164">
        <v>46996</v>
      </c>
      <c r="K13" s="240" t="s">
        <v>270</v>
      </c>
      <c r="L13" s="240" t="s">
        <v>271</v>
      </c>
      <c r="M13" s="241"/>
      <c r="N13" s="241" t="s">
        <v>272</v>
      </c>
      <c r="O13" s="241" t="s">
        <v>272</v>
      </c>
      <c r="P13" s="241" t="s">
        <v>272</v>
      </c>
      <c r="Q13" s="241" t="s">
        <v>273</v>
      </c>
      <c r="R13" s="241" t="s">
        <v>272</v>
      </c>
      <c r="S13" s="241" t="s">
        <v>272</v>
      </c>
      <c r="T13" s="241" t="s">
        <v>272</v>
      </c>
      <c r="U13" s="241" t="s">
        <v>274</v>
      </c>
      <c r="V13" s="241" t="s">
        <v>272</v>
      </c>
    </row>
    <row r="20" spans="4:8">
      <c r="D20" s="30"/>
      <c r="E20" s="30"/>
      <c r="F20" s="30"/>
      <c r="G20" s="30"/>
      <c r="H20" s="30"/>
    </row>
    <row r="21" spans="4:8">
      <c r="D21" s="34"/>
      <c r="E21" s="34"/>
      <c r="F21" s="30"/>
      <c r="G21" s="30"/>
      <c r="H21" s="30"/>
    </row>
    <row r="22" spans="4:8">
      <c r="D22" s="34"/>
      <c r="E22" s="34"/>
      <c r="F22" s="30"/>
      <c r="G22" s="30"/>
      <c r="H22" s="30"/>
    </row>
    <row r="23" spans="4:8">
      <c r="D23" s="34"/>
      <c r="E23" s="34"/>
      <c r="F23" s="30"/>
      <c r="G23" s="30"/>
      <c r="H23" s="30"/>
    </row>
    <row r="24" spans="4:8">
      <c r="D24" s="34"/>
      <c r="E24" s="34"/>
      <c r="F24" s="30"/>
      <c r="G24" s="30"/>
      <c r="H24" s="30"/>
    </row>
    <row r="25" spans="4:8">
      <c r="D25" s="34"/>
      <c r="E25" s="34"/>
      <c r="F25" s="30"/>
      <c r="G25" s="30"/>
      <c r="H25" s="30"/>
    </row>
    <row r="26" spans="4:8">
      <c r="D26" s="23"/>
      <c r="E26" s="34"/>
      <c r="F26" s="30"/>
      <c r="G26" s="30"/>
      <c r="H26" s="30"/>
    </row>
    <row r="27" spans="4:8">
      <c r="D27" s="23"/>
      <c r="E27" s="34"/>
    </row>
    <row r="28" spans="4:8">
      <c r="D28" s="23"/>
      <c r="E28" s="34"/>
    </row>
    <row r="29" spans="4:8">
      <c r="D29" s="23"/>
      <c r="E29" s="34"/>
    </row>
    <row r="30" spans="4:8">
      <c r="D30" s="23"/>
      <c r="E30" s="34"/>
    </row>
    <row r="31" spans="4:8">
      <c r="D31" s="23"/>
      <c r="E31" s="34"/>
    </row>
    <row r="32" spans="4:8">
      <c r="D32" s="23"/>
      <c r="E32" s="34"/>
    </row>
    <row r="33" spans="4:5">
      <c r="D33" s="23"/>
      <c r="E33" s="34"/>
    </row>
    <row r="34" spans="4:5">
      <c r="D34" s="23"/>
      <c r="E34" s="34"/>
    </row>
  </sheetData>
  <mergeCells count="14">
    <mergeCell ref="A1:J1"/>
    <mergeCell ref="A2:J2"/>
    <mergeCell ref="A3:J3"/>
    <mergeCell ref="I7:J7"/>
    <mergeCell ref="A6:J6"/>
    <mergeCell ref="S7:S8"/>
    <mergeCell ref="T7:T8"/>
    <mergeCell ref="U7:U8"/>
    <mergeCell ref="V7:V8"/>
    <mergeCell ref="N7:N8"/>
    <mergeCell ref="O7:O8"/>
    <mergeCell ref="P7:P8"/>
    <mergeCell ref="Q7:Q8"/>
    <mergeCell ref="R7:R8"/>
  </mergeCells>
  <dataValidations count="5">
    <dataValidation type="list" allowBlank="1" showInputMessage="1" showErrorMessage="1" sqref="F9:F13" xr:uid="{00000000-0002-0000-0400-000000000000}">
      <formula1>"Target focus regions,cross border,national coverage,other regions"</formula1>
    </dataValidation>
    <dataValidation type="list" allowBlank="1" showInputMessage="1" showErrorMessage="1" sqref="H9:H13" xr:uid="{00000000-0002-0000-0400-000001000000}">
      <formula1>"National administration,Regional administration (incl. Associations),Local administration (incl. associations and cities),NGO/non-profit,Private sector,University / academical or school,International organisation,Other"</formula1>
    </dataValidation>
    <dataValidation type="list" allowBlank="1" showInputMessage="1" showErrorMessage="1" sqref="D9:D13" xr:uid="{00000000-0002-0000-0400-000002000000}">
      <formula1>"Economic Growth,Migration / Public Safety,Environment and climate,Social Systems,Civic Engagement"</formula1>
    </dataValidation>
    <dataValidation type="list" allowBlank="1" showInputMessage="1" showErrorMessage="1" sqref="E9:E13" xr:uid="{00000000-0002-0000-0400-000003000000}">
      <formula1>"VET,Research,Financing SMEs,Migration &amp; Integration,Public safety,Energy Efficiency,Public Transport,Water,Waste,Biodiversity,Health and Social,Minorities,Civic Engagement"</formula1>
    </dataValidation>
    <dataValidation type="list" allowBlank="1" showInputMessage="1" showErrorMessage="1" sqref="N9:V13" xr:uid="{00000000-0002-0000-0400-000004000000}">
      <formula1>"Principal,Significant,Not targeted"</formula1>
    </dataValidation>
  </dataValidations>
  <pageMargins left="0.7" right="0.7" top="0.78740157499999996" bottom="0.78740157499999996" header="0.3" footer="0.3"/>
  <pageSetup paperSize="9"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OV44"/>
  <sheetViews>
    <sheetView topLeftCell="A15" zoomScale="80" zoomScaleNormal="80" zoomScalePageLayoutView="70" workbookViewId="0">
      <selection activeCell="G25" sqref="G25"/>
    </sheetView>
  </sheetViews>
  <sheetFormatPr defaultColWidth="10.5703125" defaultRowHeight="16.5"/>
  <cols>
    <col min="1" max="1" width="29.5703125" style="22" customWidth="1"/>
    <col min="2" max="2" width="34.5703125" style="22" customWidth="1"/>
    <col min="3" max="3" width="16.5703125" style="22" customWidth="1"/>
    <col min="4" max="4" width="10.5703125" style="22"/>
    <col min="5" max="5" width="12.85546875" style="22" customWidth="1"/>
    <col min="6" max="6" width="13.5703125" style="22" customWidth="1"/>
    <col min="7" max="11" width="10.5703125" style="22"/>
    <col min="12" max="12" width="10.5703125" style="22" bestFit="1" customWidth="1"/>
    <col min="13" max="15" width="10.5703125" style="22"/>
    <col min="16" max="16" width="19.5703125" style="22" customWidth="1"/>
    <col min="17" max="17" width="11.5703125" style="22" customWidth="1"/>
    <col min="18" max="18" width="10.5703125" style="22"/>
    <col min="19" max="19" width="83.28515625" style="22" customWidth="1"/>
    <col min="20" max="71" width="10.5703125" style="22"/>
    <col min="72" max="72" width="10.5703125" style="35"/>
    <col min="73" max="16384" width="10.5703125" style="22"/>
  </cols>
  <sheetData>
    <row r="1" spans="1:412">
      <c r="A1" s="434" t="str">
        <f>'Reimbursement Request'!A1:I1</f>
        <v>Swiss-Estonian Cooperation Programme</v>
      </c>
      <c r="B1" s="434"/>
      <c r="C1" s="434"/>
      <c r="D1" s="434"/>
      <c r="E1" s="434"/>
      <c r="F1" s="434"/>
      <c r="G1" s="434"/>
      <c r="H1" s="434"/>
      <c r="I1" s="434"/>
      <c r="J1" s="434"/>
      <c r="K1" s="435"/>
      <c r="L1" s="460"/>
      <c r="M1" s="460"/>
      <c r="N1" s="460"/>
      <c r="O1" s="460"/>
      <c r="P1" s="460"/>
      <c r="Q1" s="460"/>
      <c r="R1" s="460"/>
      <c r="S1" s="460"/>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row>
    <row r="2" spans="1:412">
      <c r="A2" s="455" t="str">
        <f>CONCATENATE('Reimbursement Request'!A3:I3," / ",'Reimbursement Request'!A2:I2)</f>
        <v>Supporting Social Inclusion / Reimbursement Request No. 3</v>
      </c>
      <c r="B2" s="455"/>
      <c r="C2" s="455"/>
      <c r="D2" s="455"/>
      <c r="E2" s="455"/>
      <c r="F2" s="455"/>
      <c r="G2" s="455"/>
      <c r="H2" s="455"/>
      <c r="I2" s="455"/>
      <c r="J2" s="455"/>
      <c r="K2" s="455"/>
      <c r="L2" s="460"/>
      <c r="M2" s="460"/>
      <c r="N2" s="460"/>
      <c r="O2" s="460"/>
      <c r="P2" s="460"/>
      <c r="Q2" s="460"/>
      <c r="R2" s="460"/>
      <c r="S2" s="460"/>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c r="IO2" s="35"/>
      <c r="IP2" s="35"/>
      <c r="IQ2" s="35"/>
      <c r="IR2" s="35"/>
      <c r="IS2" s="35"/>
      <c r="IT2" s="35"/>
      <c r="IU2" s="35"/>
      <c r="IV2" s="35"/>
      <c r="IW2" s="35"/>
      <c r="IX2" s="35"/>
      <c r="IY2" s="35"/>
      <c r="IZ2" s="35"/>
      <c r="JA2" s="35"/>
      <c r="JB2" s="35"/>
      <c r="JC2" s="35"/>
      <c r="JD2" s="35"/>
      <c r="JE2" s="35"/>
      <c r="JF2" s="35"/>
      <c r="JG2" s="35"/>
      <c r="JH2" s="35"/>
      <c r="JI2" s="35"/>
      <c r="JJ2" s="35"/>
      <c r="JK2" s="35"/>
      <c r="JL2" s="35"/>
      <c r="JM2" s="35"/>
      <c r="JN2" s="35"/>
      <c r="JO2" s="35"/>
      <c r="JP2" s="35"/>
      <c r="JQ2" s="35"/>
      <c r="JR2" s="35"/>
      <c r="JS2" s="35"/>
      <c r="JT2" s="35"/>
      <c r="JU2" s="35"/>
      <c r="JV2" s="35"/>
      <c r="JW2" s="35"/>
      <c r="JX2" s="35"/>
      <c r="JY2" s="35"/>
      <c r="JZ2" s="35"/>
      <c r="KA2" s="35"/>
      <c r="KB2" s="35"/>
      <c r="KC2" s="35"/>
      <c r="KD2" s="35"/>
      <c r="KE2" s="35"/>
      <c r="KF2" s="35"/>
      <c r="KG2" s="35"/>
      <c r="KH2" s="35"/>
      <c r="KI2" s="35"/>
      <c r="KJ2" s="35"/>
      <c r="KK2" s="35"/>
      <c r="KL2" s="35"/>
      <c r="KM2" s="35"/>
      <c r="KN2" s="35"/>
      <c r="KO2" s="35"/>
      <c r="KP2" s="35"/>
      <c r="KQ2" s="35"/>
      <c r="KR2" s="35"/>
      <c r="KS2" s="35"/>
      <c r="KT2" s="35"/>
      <c r="KU2" s="35"/>
      <c r="KV2" s="35"/>
      <c r="KW2" s="35"/>
      <c r="KX2" s="35"/>
      <c r="KY2" s="35"/>
      <c r="KZ2" s="35"/>
      <c r="LA2" s="35"/>
      <c r="LB2" s="35"/>
      <c r="LC2" s="35"/>
      <c r="LD2" s="35"/>
      <c r="LE2" s="35"/>
      <c r="LF2" s="35"/>
      <c r="LG2" s="35"/>
      <c r="LH2" s="35"/>
      <c r="LI2" s="35"/>
      <c r="LJ2" s="35"/>
      <c r="LK2" s="35"/>
      <c r="LL2" s="35"/>
      <c r="LM2" s="35"/>
      <c r="LN2" s="35"/>
      <c r="LO2" s="35"/>
      <c r="LP2" s="35"/>
      <c r="LQ2" s="35"/>
      <c r="LR2" s="35"/>
      <c r="LS2" s="35"/>
      <c r="LT2" s="35"/>
      <c r="LU2" s="35"/>
      <c r="LV2" s="35"/>
      <c r="LW2" s="35"/>
      <c r="LX2" s="35"/>
      <c r="LY2" s="35"/>
      <c r="LZ2" s="35"/>
      <c r="MA2" s="35"/>
      <c r="MB2" s="35"/>
      <c r="MC2" s="35"/>
      <c r="MD2" s="35"/>
      <c r="ME2" s="35"/>
      <c r="MF2" s="35"/>
      <c r="MG2" s="35"/>
      <c r="MH2" s="35"/>
      <c r="MI2" s="35"/>
      <c r="MJ2" s="35"/>
      <c r="MK2" s="35"/>
      <c r="ML2" s="35"/>
      <c r="MM2" s="35"/>
      <c r="MN2" s="35"/>
      <c r="MO2" s="35"/>
      <c r="MP2" s="35"/>
      <c r="MQ2" s="35"/>
      <c r="MR2" s="35"/>
      <c r="MS2" s="35"/>
      <c r="MT2" s="35"/>
      <c r="MU2" s="35"/>
      <c r="MV2" s="35"/>
      <c r="MW2" s="35"/>
      <c r="MX2" s="35"/>
      <c r="MY2" s="35"/>
      <c r="MZ2" s="35"/>
      <c r="NA2" s="35"/>
      <c r="NB2" s="35"/>
      <c r="NC2" s="35"/>
      <c r="ND2" s="35"/>
      <c r="NE2" s="35"/>
      <c r="NF2" s="35"/>
      <c r="NG2" s="35"/>
      <c r="NH2" s="35"/>
      <c r="NI2" s="35"/>
      <c r="NJ2" s="35"/>
      <c r="NK2" s="35"/>
      <c r="NL2" s="35"/>
      <c r="NM2" s="35"/>
      <c r="NN2" s="35"/>
      <c r="NO2" s="35"/>
      <c r="NP2" s="35"/>
      <c r="NQ2" s="35"/>
      <c r="NR2" s="35"/>
      <c r="NS2" s="35"/>
      <c r="NT2" s="35"/>
      <c r="NU2" s="35"/>
      <c r="NV2" s="35"/>
      <c r="NW2" s="35"/>
      <c r="NX2" s="35"/>
      <c r="NY2" s="35"/>
      <c r="NZ2" s="35"/>
      <c r="OA2" s="35"/>
      <c r="OB2" s="35"/>
      <c r="OC2" s="35"/>
      <c r="OD2" s="35"/>
      <c r="OE2" s="35"/>
      <c r="OF2" s="35"/>
      <c r="OG2" s="35"/>
      <c r="OH2" s="35"/>
      <c r="OI2" s="35"/>
      <c r="OJ2" s="35"/>
      <c r="OK2" s="35"/>
      <c r="OL2" s="35"/>
      <c r="OM2" s="35"/>
      <c r="ON2" s="35"/>
      <c r="OO2" s="35"/>
      <c r="OP2" s="35"/>
      <c r="OQ2" s="35"/>
      <c r="OR2" s="35"/>
      <c r="OS2" s="35"/>
      <c r="OT2" s="35"/>
      <c r="OU2" s="35"/>
      <c r="OV2" s="35"/>
    </row>
    <row r="3" spans="1:412" ht="20.25">
      <c r="A3" s="437" t="s">
        <v>279</v>
      </c>
      <c r="B3" s="437"/>
      <c r="C3" s="437"/>
      <c r="D3" s="437"/>
      <c r="E3" s="437"/>
      <c r="F3" s="437"/>
      <c r="G3" s="437"/>
      <c r="H3" s="437"/>
      <c r="I3" s="437"/>
      <c r="J3" s="437"/>
      <c r="K3" s="320"/>
      <c r="L3" s="460"/>
      <c r="M3" s="460"/>
      <c r="N3" s="460"/>
      <c r="O3" s="460"/>
      <c r="P3" s="460"/>
      <c r="Q3" s="460"/>
      <c r="R3" s="460"/>
      <c r="S3" s="460"/>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c r="IX3" s="35"/>
      <c r="IY3" s="35"/>
      <c r="IZ3" s="35"/>
      <c r="JA3" s="35"/>
      <c r="JB3" s="35"/>
      <c r="JC3" s="35"/>
      <c r="JD3" s="35"/>
      <c r="JE3" s="35"/>
      <c r="JF3" s="35"/>
      <c r="JG3" s="35"/>
      <c r="JH3" s="35"/>
      <c r="JI3" s="35"/>
      <c r="JJ3" s="35"/>
      <c r="JK3" s="35"/>
      <c r="JL3" s="35"/>
      <c r="JM3" s="35"/>
      <c r="JN3" s="35"/>
      <c r="JO3" s="35"/>
      <c r="JP3" s="35"/>
      <c r="JQ3" s="35"/>
      <c r="JR3" s="35"/>
      <c r="JS3" s="35"/>
      <c r="JT3" s="35"/>
      <c r="JU3" s="35"/>
      <c r="JV3" s="35"/>
      <c r="JW3" s="35"/>
      <c r="JX3" s="35"/>
      <c r="JY3" s="35"/>
      <c r="JZ3" s="35"/>
      <c r="KA3" s="35"/>
      <c r="KB3" s="35"/>
      <c r="KC3" s="35"/>
      <c r="KD3" s="35"/>
      <c r="KE3" s="35"/>
      <c r="KF3" s="35"/>
      <c r="KG3" s="35"/>
      <c r="KH3" s="35"/>
      <c r="KI3" s="35"/>
      <c r="KJ3" s="35"/>
      <c r="KK3" s="35"/>
      <c r="KL3" s="35"/>
      <c r="KM3" s="35"/>
      <c r="KN3" s="35"/>
      <c r="KO3" s="35"/>
      <c r="KP3" s="35"/>
      <c r="KQ3" s="35"/>
      <c r="KR3" s="35"/>
      <c r="KS3" s="35"/>
      <c r="KT3" s="35"/>
      <c r="KU3" s="35"/>
      <c r="KV3" s="35"/>
      <c r="KW3" s="35"/>
      <c r="KX3" s="35"/>
      <c r="KY3" s="35"/>
      <c r="KZ3" s="35"/>
      <c r="LA3" s="35"/>
      <c r="LB3" s="35"/>
      <c r="LC3" s="35"/>
      <c r="LD3" s="35"/>
      <c r="LE3" s="35"/>
      <c r="LF3" s="35"/>
      <c r="LG3" s="35"/>
      <c r="LH3" s="35"/>
      <c r="LI3" s="35"/>
      <c r="LJ3" s="35"/>
      <c r="LK3" s="35"/>
      <c r="LL3" s="35"/>
      <c r="LM3" s="35"/>
      <c r="LN3" s="35"/>
      <c r="LO3" s="35"/>
      <c r="LP3" s="35"/>
      <c r="LQ3" s="35"/>
      <c r="LR3" s="35"/>
      <c r="LS3" s="35"/>
      <c r="LT3" s="35"/>
      <c r="LU3" s="35"/>
      <c r="LV3" s="35"/>
      <c r="LW3" s="35"/>
      <c r="LX3" s="35"/>
      <c r="LY3" s="35"/>
      <c r="LZ3" s="35"/>
      <c r="MA3" s="35"/>
      <c r="MB3" s="35"/>
      <c r="MC3" s="35"/>
      <c r="MD3" s="35"/>
      <c r="ME3" s="35"/>
      <c r="MF3" s="35"/>
      <c r="MG3" s="35"/>
      <c r="MH3" s="35"/>
      <c r="MI3" s="35"/>
      <c r="MJ3" s="35"/>
      <c r="MK3" s="35"/>
      <c r="ML3" s="35"/>
      <c r="MM3" s="35"/>
      <c r="MN3" s="35"/>
      <c r="MO3" s="35"/>
      <c r="MP3" s="35"/>
      <c r="MQ3" s="35"/>
      <c r="MR3" s="35"/>
      <c r="MS3" s="35"/>
      <c r="MT3" s="35"/>
      <c r="MU3" s="35"/>
      <c r="MV3" s="35"/>
      <c r="MW3" s="35"/>
      <c r="MX3" s="35"/>
      <c r="MY3" s="35"/>
      <c r="MZ3" s="35"/>
      <c r="NA3" s="35"/>
      <c r="NB3" s="35"/>
      <c r="NC3" s="35"/>
      <c r="ND3" s="35"/>
      <c r="NE3" s="35"/>
      <c r="NF3" s="35"/>
      <c r="NG3" s="35"/>
      <c r="NH3" s="35"/>
      <c r="NI3" s="35"/>
      <c r="NJ3" s="35"/>
      <c r="NK3" s="35"/>
      <c r="NL3" s="35"/>
      <c r="NM3" s="35"/>
      <c r="NN3" s="35"/>
      <c r="NO3" s="35"/>
      <c r="NP3" s="35"/>
      <c r="NQ3" s="35"/>
      <c r="NR3" s="35"/>
      <c r="NS3" s="35"/>
      <c r="NT3" s="35"/>
      <c r="NU3" s="35"/>
      <c r="NV3" s="35"/>
      <c r="NW3" s="35"/>
      <c r="NX3" s="35"/>
      <c r="NY3" s="35"/>
      <c r="NZ3" s="35"/>
      <c r="OA3" s="35"/>
      <c r="OB3" s="35"/>
      <c r="OC3" s="35"/>
      <c r="OD3" s="35"/>
      <c r="OE3" s="35"/>
      <c r="OF3" s="35"/>
      <c r="OG3" s="35"/>
      <c r="OH3" s="35"/>
      <c r="OI3" s="35"/>
      <c r="OJ3" s="35"/>
      <c r="OK3" s="35"/>
      <c r="OL3" s="35"/>
      <c r="OM3" s="35"/>
      <c r="ON3" s="35"/>
      <c r="OO3" s="35"/>
      <c r="OP3" s="35"/>
      <c r="OQ3" s="35"/>
      <c r="OR3" s="35"/>
      <c r="OS3" s="35"/>
      <c r="OT3" s="35"/>
      <c r="OU3" s="35"/>
      <c r="OV3" s="35"/>
    </row>
    <row r="4" spans="1:412" ht="15.75" customHeight="1">
      <c r="A4" s="37"/>
      <c r="B4" s="37"/>
      <c r="C4" s="37"/>
      <c r="D4" s="37"/>
      <c r="E4" s="37"/>
      <c r="F4" s="37"/>
      <c r="G4" s="37"/>
      <c r="H4" s="37"/>
      <c r="I4" s="37"/>
      <c r="J4" s="461"/>
      <c r="K4" s="460"/>
      <c r="L4" s="460"/>
      <c r="M4" s="41"/>
      <c r="N4" s="41"/>
      <c r="O4" s="41"/>
      <c r="P4" s="41"/>
      <c r="Q4" s="461"/>
      <c r="R4" s="460"/>
      <c r="S4" s="460"/>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row>
    <row r="5" spans="1:412" ht="15.75" customHeight="1">
      <c r="A5" s="37"/>
      <c r="B5" s="37"/>
      <c r="C5" s="37"/>
      <c r="D5" s="37"/>
      <c r="E5" s="37"/>
      <c r="F5" s="37"/>
      <c r="G5" s="37"/>
      <c r="H5" s="37"/>
      <c r="I5" s="37"/>
      <c r="J5" s="146"/>
      <c r="K5" s="145"/>
      <c r="L5" s="145"/>
      <c r="M5" s="41"/>
      <c r="N5" s="41"/>
      <c r="O5" s="41"/>
      <c r="P5" s="41"/>
      <c r="Q5" s="146"/>
      <c r="R5" s="145"/>
      <c r="S5" s="14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row>
    <row r="6" spans="1:412">
      <c r="A6" s="458" t="s">
        <v>236</v>
      </c>
      <c r="B6" s="462"/>
      <c r="C6" s="462"/>
      <c r="D6" s="462"/>
      <c r="E6" s="462"/>
      <c r="F6" s="462"/>
      <c r="G6" s="462"/>
      <c r="H6" s="462"/>
      <c r="I6" s="462"/>
      <c r="J6" s="462"/>
      <c r="K6" s="462"/>
      <c r="L6" s="462"/>
      <c r="M6" s="462"/>
      <c r="N6" s="462"/>
      <c r="O6" s="462"/>
      <c r="P6" s="462"/>
      <c r="Q6" s="462"/>
      <c r="R6" s="462"/>
      <c r="S6" s="462"/>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row>
    <row r="7" spans="1:412" s="23" customFormat="1" ht="115.5" customHeight="1">
      <c r="A7" s="169" t="s">
        <v>280</v>
      </c>
      <c r="B7" s="169" t="s">
        <v>281</v>
      </c>
      <c r="C7" s="170" t="s">
        <v>282</v>
      </c>
      <c r="D7" s="170" t="s">
        <v>283</v>
      </c>
      <c r="E7" s="170" t="s">
        <v>284</v>
      </c>
      <c r="F7" s="170" t="s">
        <v>285</v>
      </c>
      <c r="G7" s="170" t="s">
        <v>286</v>
      </c>
      <c r="H7" s="169" t="s">
        <v>287</v>
      </c>
      <c r="I7" s="169" t="s">
        <v>288</v>
      </c>
      <c r="J7" s="169" t="s">
        <v>289</v>
      </c>
      <c r="K7" s="169" t="s">
        <v>290</v>
      </c>
      <c r="L7" s="266" t="s">
        <v>291</v>
      </c>
      <c r="M7" s="266"/>
      <c r="N7" s="266" t="s">
        <v>292</v>
      </c>
      <c r="O7" s="266"/>
      <c r="P7" s="169" t="s">
        <v>293</v>
      </c>
      <c r="Q7" s="266" t="s">
        <v>294</v>
      </c>
      <c r="R7" s="266"/>
      <c r="S7" s="171" t="s">
        <v>295</v>
      </c>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c r="IW7" s="36"/>
      <c r="IX7" s="36"/>
      <c r="IY7" s="36"/>
      <c r="IZ7" s="36"/>
      <c r="JA7" s="36"/>
      <c r="JB7" s="36"/>
      <c r="JC7" s="36"/>
      <c r="JD7" s="36"/>
      <c r="JE7" s="36"/>
      <c r="JF7" s="36"/>
      <c r="JG7" s="36"/>
      <c r="JH7" s="36"/>
      <c r="JI7" s="36"/>
      <c r="JJ7" s="36"/>
      <c r="JK7" s="36"/>
      <c r="JL7" s="36"/>
      <c r="JM7" s="36"/>
      <c r="JN7" s="36"/>
      <c r="JO7" s="36"/>
      <c r="JP7" s="36"/>
      <c r="JQ7" s="36"/>
      <c r="JR7" s="36"/>
      <c r="JS7" s="36"/>
      <c r="JT7" s="36"/>
      <c r="JU7" s="36"/>
      <c r="JV7" s="36"/>
      <c r="JW7" s="36"/>
      <c r="JX7" s="36"/>
      <c r="JY7" s="36"/>
      <c r="JZ7" s="36"/>
      <c r="KA7" s="36"/>
      <c r="KB7" s="36"/>
      <c r="KC7" s="36"/>
      <c r="KD7" s="36"/>
      <c r="KE7" s="36"/>
      <c r="KF7" s="36"/>
      <c r="KG7" s="36"/>
      <c r="KH7" s="36"/>
      <c r="KI7" s="36"/>
      <c r="KJ7" s="36"/>
      <c r="KK7" s="36"/>
      <c r="KL7" s="36"/>
      <c r="KM7" s="36"/>
      <c r="KN7" s="36"/>
      <c r="KO7" s="36"/>
      <c r="KP7" s="36"/>
      <c r="KQ7" s="36"/>
      <c r="KR7" s="36"/>
      <c r="KS7" s="36"/>
      <c r="KT7" s="36"/>
      <c r="KU7" s="36"/>
      <c r="KV7" s="36"/>
      <c r="KW7" s="36"/>
      <c r="KX7" s="36"/>
      <c r="KY7" s="36"/>
      <c r="KZ7" s="36"/>
      <c r="LA7" s="36"/>
      <c r="LB7" s="36"/>
      <c r="LC7" s="36"/>
      <c r="LD7" s="36"/>
      <c r="LE7" s="36"/>
      <c r="LF7" s="36"/>
      <c r="LG7" s="36"/>
      <c r="LH7" s="36"/>
      <c r="LI7" s="36"/>
      <c r="LJ7" s="36"/>
      <c r="LK7" s="36"/>
      <c r="LL7" s="36"/>
      <c r="LM7" s="36"/>
      <c r="LN7" s="36"/>
      <c r="LO7" s="36"/>
      <c r="LP7" s="36"/>
      <c r="LQ7" s="36"/>
      <c r="LR7" s="36"/>
      <c r="LS7" s="36"/>
      <c r="LT7" s="36"/>
      <c r="LU7" s="36"/>
      <c r="LV7" s="36"/>
      <c r="LW7" s="36"/>
      <c r="LX7" s="36"/>
      <c r="LY7" s="36"/>
      <c r="LZ7" s="36"/>
      <c r="MA7" s="36"/>
      <c r="MB7" s="36"/>
      <c r="MC7" s="36"/>
      <c r="MD7" s="36"/>
      <c r="ME7" s="36"/>
      <c r="MF7" s="36"/>
      <c r="MG7" s="36"/>
      <c r="MH7" s="36"/>
      <c r="MI7" s="36"/>
      <c r="MJ7" s="36"/>
      <c r="MK7" s="36"/>
      <c r="ML7" s="36"/>
      <c r="MM7" s="36"/>
      <c r="MN7" s="36"/>
      <c r="MO7" s="36"/>
      <c r="MP7" s="36"/>
      <c r="MQ7" s="36"/>
      <c r="MR7" s="36"/>
      <c r="MS7" s="36"/>
      <c r="MT7" s="36"/>
      <c r="MU7" s="36"/>
      <c r="MV7" s="36"/>
      <c r="MW7" s="36"/>
      <c r="MX7" s="36"/>
      <c r="MY7" s="36"/>
      <c r="MZ7" s="36"/>
      <c r="NA7" s="36"/>
      <c r="NB7" s="36"/>
      <c r="NC7" s="36"/>
      <c r="ND7" s="36"/>
      <c r="NE7" s="36"/>
      <c r="NF7" s="36"/>
      <c r="NG7" s="36"/>
      <c r="NH7" s="36"/>
      <c r="NI7" s="36"/>
      <c r="NJ7" s="36"/>
      <c r="NK7" s="36"/>
      <c r="NL7" s="36"/>
      <c r="NM7" s="36"/>
      <c r="NN7" s="36"/>
      <c r="NO7" s="36"/>
      <c r="NP7" s="36"/>
      <c r="NQ7" s="36"/>
      <c r="NR7" s="36"/>
      <c r="NS7" s="36"/>
      <c r="NT7" s="36"/>
      <c r="NU7" s="36"/>
      <c r="NV7" s="36"/>
      <c r="NW7" s="36"/>
      <c r="NX7" s="36"/>
      <c r="NY7" s="36"/>
      <c r="NZ7" s="36"/>
      <c r="OA7" s="36"/>
      <c r="OB7" s="36"/>
      <c r="OC7" s="36"/>
      <c r="OD7" s="36"/>
      <c r="OE7" s="36"/>
      <c r="OF7" s="36"/>
      <c r="OG7" s="36"/>
      <c r="OH7" s="36"/>
      <c r="OI7" s="36"/>
      <c r="OJ7" s="36"/>
      <c r="OK7" s="36"/>
      <c r="OL7" s="36"/>
      <c r="OM7" s="36"/>
      <c r="ON7" s="36"/>
      <c r="OO7" s="36"/>
      <c r="OP7" s="36"/>
      <c r="OQ7" s="36"/>
      <c r="OR7" s="36"/>
      <c r="OS7" s="36"/>
      <c r="OT7" s="36"/>
      <c r="OU7" s="36"/>
      <c r="OV7" s="36"/>
    </row>
    <row r="8" spans="1:412" ht="67.5" customHeight="1">
      <c r="A8" s="27"/>
      <c r="B8" s="27"/>
      <c r="C8" s="27" t="s">
        <v>296</v>
      </c>
      <c r="D8" s="27" t="s">
        <v>296</v>
      </c>
      <c r="E8" s="27" t="s">
        <v>297</v>
      </c>
      <c r="F8" s="27" t="s">
        <v>297</v>
      </c>
      <c r="G8" s="27" t="s">
        <v>298</v>
      </c>
      <c r="H8" s="27" t="s">
        <v>296</v>
      </c>
      <c r="I8" s="27" t="s">
        <v>298</v>
      </c>
      <c r="J8" s="27" t="s">
        <v>296</v>
      </c>
      <c r="K8" s="27" t="s">
        <v>298</v>
      </c>
      <c r="L8" s="28" t="s">
        <v>17</v>
      </c>
      <c r="M8" s="27" t="s">
        <v>19</v>
      </c>
      <c r="N8" s="28" t="s">
        <v>17</v>
      </c>
      <c r="O8" s="27" t="s">
        <v>19</v>
      </c>
      <c r="P8" s="27" t="s">
        <v>299</v>
      </c>
      <c r="Q8" s="28" t="s">
        <v>17</v>
      </c>
      <c r="R8" s="27" t="s">
        <v>19</v>
      </c>
      <c r="S8" s="29" t="s">
        <v>300</v>
      </c>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row>
    <row r="9" spans="1:412" ht="75" customHeight="1">
      <c r="A9" s="229" t="s">
        <v>180</v>
      </c>
      <c r="B9" s="229" t="s">
        <v>301</v>
      </c>
      <c r="C9" s="163" t="s">
        <v>302</v>
      </c>
      <c r="D9" s="163" t="s">
        <v>302</v>
      </c>
      <c r="E9" s="163" t="s">
        <v>303</v>
      </c>
      <c r="F9" s="163" t="s">
        <v>304</v>
      </c>
      <c r="G9" s="163"/>
      <c r="H9" s="163" t="s">
        <v>305</v>
      </c>
      <c r="I9" s="163"/>
      <c r="J9" s="163" t="s">
        <v>306</v>
      </c>
      <c r="K9" s="163"/>
      <c r="L9" s="234">
        <v>300000</v>
      </c>
      <c r="M9" s="234">
        <f>ROUND(L9/1.036081,0)</f>
        <v>289553</v>
      </c>
      <c r="N9" s="163"/>
      <c r="O9" s="163"/>
      <c r="P9" s="163"/>
      <c r="Q9" s="163"/>
      <c r="R9" s="163"/>
      <c r="S9" s="25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row>
    <row r="10" spans="1:412" ht="75" customHeight="1">
      <c r="A10" s="229" t="s">
        <v>180</v>
      </c>
      <c r="B10" s="229" t="s">
        <v>301</v>
      </c>
      <c r="C10" s="163" t="s">
        <v>305</v>
      </c>
      <c r="D10" s="163" t="s">
        <v>307</v>
      </c>
      <c r="E10" s="163" t="s">
        <v>303</v>
      </c>
      <c r="F10" s="163" t="s">
        <v>304</v>
      </c>
      <c r="G10" s="163"/>
      <c r="H10" s="163" t="s">
        <v>307</v>
      </c>
      <c r="I10" s="163"/>
      <c r="J10" s="163" t="s">
        <v>308</v>
      </c>
      <c r="K10" s="163"/>
      <c r="L10" s="234">
        <v>300000</v>
      </c>
      <c r="M10" s="234">
        <f t="shared" ref="M10:M18" si="0">ROUND(L10/1.036081,0)</f>
        <v>289553</v>
      </c>
      <c r="N10" s="163"/>
      <c r="O10" s="163"/>
      <c r="P10" s="163"/>
      <c r="Q10" s="163"/>
      <c r="R10" s="163"/>
      <c r="S10" s="25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row>
    <row r="11" spans="1:412" ht="99" customHeight="1">
      <c r="A11" s="229" t="s">
        <v>180</v>
      </c>
      <c r="B11" s="229" t="s">
        <v>309</v>
      </c>
      <c r="C11" s="163" t="s">
        <v>310</v>
      </c>
      <c r="D11" s="163" t="s">
        <v>310</v>
      </c>
      <c r="E11" s="163" t="s">
        <v>311</v>
      </c>
      <c r="F11" s="163" t="s">
        <v>304</v>
      </c>
      <c r="G11" s="163" t="s">
        <v>312</v>
      </c>
      <c r="H11" s="163" t="s">
        <v>313</v>
      </c>
      <c r="I11" s="256">
        <v>46006</v>
      </c>
      <c r="J11" s="163" t="s">
        <v>314</v>
      </c>
      <c r="K11" s="256">
        <v>46212</v>
      </c>
      <c r="L11" s="234">
        <v>80000</v>
      </c>
      <c r="M11" s="234">
        <f t="shared" si="0"/>
        <v>77214</v>
      </c>
      <c r="N11" s="234">
        <v>63085</v>
      </c>
      <c r="O11" s="234">
        <f>ROUND(N11/1.036081,0)</f>
        <v>60888</v>
      </c>
      <c r="P11" s="163" t="s">
        <v>315</v>
      </c>
      <c r="Q11" s="234">
        <v>63085</v>
      </c>
      <c r="R11" s="163"/>
      <c r="S11" s="255" t="s">
        <v>316</v>
      </c>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row>
    <row r="12" spans="1:412" ht="135" customHeight="1">
      <c r="A12" s="229" t="s">
        <v>180</v>
      </c>
      <c r="B12" s="229" t="s">
        <v>317</v>
      </c>
      <c r="C12" s="163" t="s">
        <v>305</v>
      </c>
      <c r="D12" s="163" t="s">
        <v>307</v>
      </c>
      <c r="E12" s="163" t="s">
        <v>311</v>
      </c>
      <c r="F12" s="163" t="s">
        <v>304</v>
      </c>
      <c r="G12" s="163"/>
      <c r="H12" s="163" t="s">
        <v>318</v>
      </c>
      <c r="I12" s="163"/>
      <c r="J12" s="163" t="s">
        <v>319</v>
      </c>
      <c r="K12" s="163"/>
      <c r="L12" s="234">
        <v>75000</v>
      </c>
      <c r="M12" s="234">
        <f t="shared" si="0"/>
        <v>72388</v>
      </c>
      <c r="N12" s="163"/>
      <c r="O12" s="163"/>
      <c r="P12" s="163"/>
      <c r="Q12" s="163"/>
      <c r="R12" s="163"/>
      <c r="S12" s="255" t="s">
        <v>320</v>
      </c>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row>
    <row r="13" spans="1:412" ht="33">
      <c r="A13" s="229" t="s">
        <v>180</v>
      </c>
      <c r="B13" s="232" t="s">
        <v>321</v>
      </c>
      <c r="C13" s="163" t="s">
        <v>322</v>
      </c>
      <c r="D13" s="163" t="s">
        <v>322</v>
      </c>
      <c r="E13" s="163" t="s">
        <v>311</v>
      </c>
      <c r="F13" s="163" t="s">
        <v>304</v>
      </c>
      <c r="G13" s="163" t="s">
        <v>323</v>
      </c>
      <c r="H13" s="163" t="s">
        <v>310</v>
      </c>
      <c r="I13" s="163"/>
      <c r="J13" s="163"/>
      <c r="K13" s="163"/>
      <c r="L13" s="234"/>
      <c r="M13" s="234"/>
      <c r="N13" s="163"/>
      <c r="O13" s="163"/>
      <c r="P13" s="163"/>
      <c r="Q13" s="163"/>
      <c r="R13" s="163"/>
      <c r="S13" s="257" t="s">
        <v>324</v>
      </c>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row>
    <row r="14" spans="1:412" ht="41.25" customHeight="1">
      <c r="A14" s="229"/>
      <c r="B14" s="232"/>
      <c r="C14" s="163"/>
      <c r="D14" s="163"/>
      <c r="E14" s="163"/>
      <c r="F14" s="163"/>
      <c r="G14" s="163"/>
      <c r="H14" s="163"/>
      <c r="I14" s="163" t="s">
        <v>325</v>
      </c>
      <c r="J14" s="163" t="s">
        <v>307</v>
      </c>
      <c r="K14" s="163"/>
      <c r="L14" s="234">
        <v>157200</v>
      </c>
      <c r="M14" s="234">
        <f t="shared" si="0"/>
        <v>151726</v>
      </c>
      <c r="N14" s="234">
        <v>190947.6</v>
      </c>
      <c r="O14" s="234">
        <f>ROUND(N14/1.036081,0)</f>
        <v>184298</v>
      </c>
      <c r="P14" s="163" t="s">
        <v>326</v>
      </c>
      <c r="Q14" s="163">
        <v>30068.560000000001</v>
      </c>
      <c r="R14" s="163"/>
      <c r="S14" s="229" t="s">
        <v>327</v>
      </c>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row>
    <row r="15" spans="1:412" ht="41.25" customHeight="1">
      <c r="A15" s="229"/>
      <c r="B15" s="232"/>
      <c r="C15" s="163"/>
      <c r="D15" s="163"/>
      <c r="E15" s="163"/>
      <c r="F15" s="163"/>
      <c r="G15" s="163"/>
      <c r="H15" s="163"/>
      <c r="I15" s="163" t="s">
        <v>325</v>
      </c>
      <c r="J15" s="163" t="s">
        <v>307</v>
      </c>
      <c r="K15" s="163"/>
      <c r="L15" s="234">
        <v>235800</v>
      </c>
      <c r="M15" s="234">
        <f t="shared" si="0"/>
        <v>227588</v>
      </c>
      <c r="N15" s="234">
        <v>219450</v>
      </c>
      <c r="O15" s="234">
        <f t="shared" ref="O15:O17" si="1">ROUND(N15/1.036081,0)</f>
        <v>211808</v>
      </c>
      <c r="P15" s="163" t="s">
        <v>328</v>
      </c>
      <c r="Q15" s="163">
        <v>22583.759999999998</v>
      </c>
      <c r="R15" s="163"/>
      <c r="S15" s="229" t="s">
        <v>329</v>
      </c>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row>
    <row r="16" spans="1:412" ht="41.25" customHeight="1">
      <c r="A16" s="229"/>
      <c r="B16" s="232"/>
      <c r="C16" s="163"/>
      <c r="D16" s="163"/>
      <c r="E16" s="163"/>
      <c r="F16" s="163"/>
      <c r="G16" s="163"/>
      <c r="H16" s="163"/>
      <c r="I16" s="163" t="s">
        <v>325</v>
      </c>
      <c r="J16" s="163" t="s">
        <v>307</v>
      </c>
      <c r="K16" s="163"/>
      <c r="L16" s="234">
        <v>78600</v>
      </c>
      <c r="M16" s="234">
        <f t="shared" si="0"/>
        <v>75863</v>
      </c>
      <c r="N16" s="234">
        <v>92984.5</v>
      </c>
      <c r="O16" s="234">
        <f t="shared" si="1"/>
        <v>89746</v>
      </c>
      <c r="P16" s="163" t="s">
        <v>326</v>
      </c>
      <c r="Q16" s="163">
        <v>5757.77</v>
      </c>
      <c r="R16" s="163"/>
      <c r="S16" s="229" t="s">
        <v>330</v>
      </c>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row>
    <row r="17" spans="1:412" ht="41.25" customHeight="1">
      <c r="A17" s="229"/>
      <c r="B17" s="232"/>
      <c r="C17" s="163"/>
      <c r="D17" s="163"/>
      <c r="E17" s="163"/>
      <c r="F17" s="163"/>
      <c r="G17" s="163"/>
      <c r="H17" s="163"/>
      <c r="I17" s="163" t="s">
        <v>325</v>
      </c>
      <c r="J17" s="163" t="s">
        <v>307</v>
      </c>
      <c r="K17" s="163"/>
      <c r="L17" s="234">
        <v>52400</v>
      </c>
      <c r="M17" s="234">
        <f t="shared" si="0"/>
        <v>50575</v>
      </c>
      <c r="N17" s="234">
        <v>63229.46</v>
      </c>
      <c r="O17" s="234">
        <f t="shared" si="1"/>
        <v>61028</v>
      </c>
      <c r="P17" s="163" t="s">
        <v>326</v>
      </c>
      <c r="Q17" s="163">
        <v>0</v>
      </c>
      <c r="R17" s="163"/>
      <c r="S17" s="229" t="s">
        <v>331</v>
      </c>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row>
    <row r="18" spans="1:412" ht="49.5">
      <c r="A18" s="229" t="s">
        <v>180</v>
      </c>
      <c r="B18" s="229" t="s">
        <v>332</v>
      </c>
      <c r="C18" s="163" t="s">
        <v>333</v>
      </c>
      <c r="D18" s="163" t="s">
        <v>314</v>
      </c>
      <c r="E18" s="163" t="s">
        <v>311</v>
      </c>
      <c r="F18" s="163" t="s">
        <v>304</v>
      </c>
      <c r="G18" s="163"/>
      <c r="H18" s="163" t="s">
        <v>302</v>
      </c>
      <c r="I18" s="163"/>
      <c r="J18" s="163" t="s">
        <v>334</v>
      </c>
      <c r="K18" s="163"/>
      <c r="L18" s="234">
        <v>575000</v>
      </c>
      <c r="M18" s="234">
        <f t="shared" si="0"/>
        <v>554976</v>
      </c>
      <c r="N18" s="163"/>
      <c r="O18" s="163"/>
      <c r="P18" s="163"/>
      <c r="Q18" s="163"/>
      <c r="R18" s="163"/>
      <c r="S18" s="163"/>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row>
    <row r="19" spans="1:412" s="24" customFormat="1" ht="330.75" customHeight="1">
      <c r="A19" s="229" t="s">
        <v>189</v>
      </c>
      <c r="B19" s="232" t="s">
        <v>335</v>
      </c>
      <c r="C19" s="163"/>
      <c r="D19" s="163"/>
      <c r="E19" s="163"/>
      <c r="F19" s="163"/>
      <c r="G19" s="163"/>
      <c r="H19" s="163"/>
      <c r="I19" s="163"/>
      <c r="J19" s="163"/>
      <c r="K19" s="163"/>
      <c r="L19" s="234">
        <v>185000</v>
      </c>
      <c r="M19" s="234">
        <f>ROUND(L19/1.036081,0)</f>
        <v>178557</v>
      </c>
      <c r="N19" s="163"/>
      <c r="O19" s="163"/>
      <c r="P19" s="163"/>
      <c r="Q19" s="163"/>
      <c r="R19" s="163"/>
      <c r="S19" s="261" t="s">
        <v>336</v>
      </c>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row>
    <row r="20" spans="1:412">
      <c r="A20" s="459"/>
      <c r="B20" s="459"/>
      <c r="C20" s="459"/>
      <c r="D20" s="459"/>
      <c r="E20" s="459"/>
      <c r="F20" s="459"/>
      <c r="G20" s="459"/>
      <c r="H20" s="459"/>
      <c r="I20" s="459"/>
      <c r="J20" s="459"/>
      <c r="K20" s="459"/>
      <c r="L20" s="459"/>
      <c r="M20" s="459"/>
      <c r="N20" s="459"/>
      <c r="O20" s="459"/>
      <c r="P20" s="459"/>
      <c r="Q20" s="459"/>
      <c r="R20" s="459"/>
      <c r="S20" s="459"/>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row>
    <row r="21" spans="1:412">
      <c r="A21" s="459"/>
      <c r="B21" s="459"/>
      <c r="C21" s="459"/>
      <c r="D21" s="459"/>
      <c r="E21" s="459"/>
      <c r="F21" s="459"/>
      <c r="G21" s="459"/>
      <c r="H21" s="459"/>
      <c r="I21" s="459"/>
      <c r="J21" s="459"/>
      <c r="K21" s="459"/>
      <c r="L21" s="459"/>
      <c r="M21" s="459"/>
      <c r="N21" s="459"/>
      <c r="O21" s="459"/>
      <c r="P21" s="459"/>
      <c r="Q21" s="459"/>
      <c r="R21" s="459"/>
      <c r="S21" s="459"/>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row>
    <row r="22" spans="1:412">
      <c r="B22" s="25"/>
    </row>
    <row r="44" spans="8:8">
      <c r="H44" s="22" t="s">
        <v>337</v>
      </c>
    </row>
  </sheetData>
  <mergeCells count="10">
    <mergeCell ref="A20:S21"/>
    <mergeCell ref="A2:S2"/>
    <mergeCell ref="A1:S1"/>
    <mergeCell ref="Q4:S4"/>
    <mergeCell ref="A3:S3"/>
    <mergeCell ref="N7:O7"/>
    <mergeCell ref="L7:M7"/>
    <mergeCell ref="Q7:R7"/>
    <mergeCell ref="J4:L4"/>
    <mergeCell ref="A6:S6"/>
  </mergeCells>
  <dataValidations count="1">
    <dataValidation type="list" allowBlank="1" showInputMessage="1" showErrorMessage="1" sqref="L8 N8 Q8" xr:uid="{00000000-0002-0000-0500-000000000000}">
      <formula1>"EUR, BGN, CZK, HRK, HUF,PLN,RON"</formula1>
    </dataValidation>
  </dataValidations>
  <pageMargins left="0.7" right="0.7" top="0.78740157499999996" bottom="0.78740157499999996" header="0.3" footer="0.3"/>
  <pageSetup paperSize="9" scale="3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C28"/>
  <sheetViews>
    <sheetView topLeftCell="A3" zoomScaleNormal="100" zoomScalePageLayoutView="85" workbookViewId="0">
      <selection activeCell="E18" sqref="E18"/>
    </sheetView>
  </sheetViews>
  <sheetFormatPr defaultColWidth="11.5703125" defaultRowHeight="12.75"/>
  <cols>
    <col min="1" max="1" width="56.42578125" customWidth="1"/>
    <col min="2" max="2" width="5.140625" customWidth="1"/>
    <col min="3" max="3" width="78.42578125" customWidth="1"/>
    <col min="4" max="10" width="11.42578125" customWidth="1"/>
  </cols>
  <sheetData>
    <row r="1" spans="1:3" ht="20.25" customHeight="1">
      <c r="A1" s="320" t="s">
        <v>338</v>
      </c>
      <c r="B1" s="320"/>
      <c r="C1" s="320"/>
    </row>
    <row r="2" spans="1:3" ht="14.25">
      <c r="A2" s="3"/>
      <c r="B2" s="4"/>
      <c r="C2" s="4"/>
    </row>
    <row r="3" spans="1:3" ht="15.75">
      <c r="A3" s="292" t="s">
        <v>339</v>
      </c>
      <c r="B3" s="293"/>
      <c r="C3" s="294"/>
    </row>
    <row r="4" spans="1:3" ht="14.25">
      <c r="A4" s="2"/>
      <c r="B4" s="2"/>
      <c r="C4" s="4"/>
    </row>
    <row r="5" spans="1:3" ht="18">
      <c r="A5" s="6" t="s">
        <v>340</v>
      </c>
      <c r="B5" s="5"/>
      <c r="C5" s="167" t="s">
        <v>341</v>
      </c>
    </row>
    <row r="6" spans="1:3" ht="18">
      <c r="A6" s="5"/>
      <c r="B6" s="1"/>
      <c r="C6" s="7"/>
    </row>
    <row r="7" spans="1:3" ht="18">
      <c r="A7" s="6" t="s">
        <v>342</v>
      </c>
      <c r="B7" s="5"/>
      <c r="C7" s="166" t="str">
        <f>'Reimbursement Request'!F7</f>
        <v>7F-10699.01</v>
      </c>
    </row>
    <row r="8" spans="1:3" ht="18">
      <c r="A8" s="6" t="s">
        <v>343</v>
      </c>
      <c r="B8" s="5"/>
      <c r="C8" s="239">
        <v>1000643543</v>
      </c>
    </row>
    <row r="9" spans="1:3" ht="18">
      <c r="A9" s="6" t="s">
        <v>344</v>
      </c>
      <c r="B9" s="5"/>
      <c r="C9" s="167" t="s">
        <v>345</v>
      </c>
    </row>
    <row r="10" spans="1:3" ht="18">
      <c r="A10" s="6" t="s">
        <v>346</v>
      </c>
      <c r="B10" s="5"/>
      <c r="C10" s="167" t="s">
        <v>347</v>
      </c>
    </row>
    <row r="11" spans="1:3" ht="18">
      <c r="A11" s="6" t="s">
        <v>348</v>
      </c>
      <c r="B11" s="5"/>
      <c r="C11" s="167" t="s">
        <v>349</v>
      </c>
    </row>
    <row r="12" spans="1:3" ht="18">
      <c r="A12" s="5"/>
      <c r="B12" s="1"/>
      <c r="C12" s="7"/>
    </row>
    <row r="13" spans="1:3" ht="18">
      <c r="A13" s="6" t="s">
        <v>350</v>
      </c>
      <c r="B13" s="5"/>
      <c r="C13" s="166" t="s">
        <v>19</v>
      </c>
    </row>
    <row r="14" spans="1:3" ht="18">
      <c r="A14" s="6" t="s">
        <v>351</v>
      </c>
      <c r="B14" s="5"/>
      <c r="C14" s="173">
        <f>'Financial Progress'!Q39</f>
        <v>1079130.56</v>
      </c>
    </row>
    <row r="15" spans="1:3" ht="25.5">
      <c r="A15" s="6" t="s">
        <v>352</v>
      </c>
      <c r="B15" s="5"/>
      <c r="C15" s="166"/>
    </row>
    <row r="16" spans="1:3" ht="18">
      <c r="A16" s="168" t="str">
        <f>'Financial Progress'!B10</f>
        <v>Management Costs</v>
      </c>
      <c r="B16" s="5"/>
      <c r="C16" s="237">
        <f>'Financial Progress'!Q10</f>
        <v>114670.51</v>
      </c>
    </row>
    <row r="17" spans="1:3" ht="18">
      <c r="A17" s="168" t="str">
        <f>'Financial Progress'!B16</f>
        <v xml:space="preserve">Programme Component 1 “Cultural and linguistic integration” </v>
      </c>
      <c r="B17" s="5"/>
      <c r="C17" s="237">
        <f>'Financial Progress'!Q16</f>
        <v>390734.9</v>
      </c>
    </row>
    <row r="18" spans="1:3" ht="25.5">
      <c r="A18" s="168" t="str">
        <f>'Financial Progress'!B24</f>
        <v>Programme Component 2 "Strengthening the social-and child protection services"</v>
      </c>
      <c r="B18" s="5"/>
      <c r="C18" s="237">
        <f>'Financial Progress'!Q24</f>
        <v>228420.7</v>
      </c>
    </row>
    <row r="19" spans="1:3" ht="25.5">
      <c r="A19" s="168" t="str">
        <f>'Financial Progress'!B29</f>
        <v>Programme Component 3 “Increasing multicultural competence in the education sector”</v>
      </c>
      <c r="B19" s="5"/>
      <c r="C19" s="237">
        <f>'Financial Progress'!Q29</f>
        <v>302510.27</v>
      </c>
    </row>
    <row r="20" spans="1:3" ht="25.5">
      <c r="A20" s="168" t="str">
        <f>'Financial Progress'!B35</f>
        <v>Programme Component 4 “Strengthening civil society through social innovation.”</v>
      </c>
      <c r="B20" s="5"/>
      <c r="C20" s="237">
        <f>'Financial Progress'!Q35</f>
        <v>42794.18</v>
      </c>
    </row>
    <row r="21" spans="1:3" ht="18">
      <c r="A21" s="1"/>
      <c r="B21" s="1"/>
      <c r="C21" s="4"/>
    </row>
    <row r="22" spans="1:3" ht="15.75">
      <c r="A22" s="292" t="s">
        <v>353</v>
      </c>
      <c r="B22" s="293"/>
      <c r="C22" s="293"/>
    </row>
    <row r="23" spans="1:3" ht="14.25">
      <c r="A23" s="2"/>
      <c r="B23" s="2"/>
      <c r="C23" s="4"/>
    </row>
    <row r="24" spans="1:3" ht="25.5">
      <c r="A24" s="6" t="s">
        <v>354</v>
      </c>
      <c r="B24" s="5"/>
      <c r="C24" s="167" t="s">
        <v>345</v>
      </c>
    </row>
    <row r="25" spans="1:3" ht="18">
      <c r="A25" s="6" t="s">
        <v>355</v>
      </c>
      <c r="B25" s="5"/>
      <c r="C25" s="167" t="s">
        <v>356</v>
      </c>
    </row>
    <row r="26" spans="1:3" ht="14.25">
      <c r="A26" s="6" t="s">
        <v>357</v>
      </c>
      <c r="B26" s="2"/>
      <c r="C26" s="167" t="s">
        <v>358</v>
      </c>
    </row>
    <row r="27" spans="1:3">
      <c r="A27" s="6" t="s">
        <v>359</v>
      </c>
      <c r="C27" s="238">
        <v>2550081357</v>
      </c>
    </row>
    <row r="28" spans="1:3" ht="18">
      <c r="A28" s="6" t="s">
        <v>360</v>
      </c>
      <c r="B28" s="5"/>
      <c r="C28" s="167" t="s">
        <v>361</v>
      </c>
    </row>
  </sheetData>
  <mergeCells count="3">
    <mergeCell ref="A3:C3"/>
    <mergeCell ref="A22:C22"/>
    <mergeCell ref="A1:C1"/>
  </mergeCells>
  <conditionalFormatting sqref="A1:C26 A24:A28 C24:C28">
    <cfRule type="cellIs" dxfId="1" priority="2" operator="equal">
      <formula>"Bitte auswählen!"</formula>
    </cfRule>
  </conditionalFormatting>
  <conditionalFormatting sqref="A28:C28">
    <cfRule type="cellIs" dxfId="0" priority="1" operator="equal">
      <formula>"Bitte auswählen!"</formula>
    </cfRule>
  </conditionalFormatting>
  <dataValidations count="1">
    <dataValidation type="list" allowBlank="1" showInputMessage="1" showErrorMessage="1" sqref="C13" xr:uid="{00000000-0002-0000-0000-000000000000}">
      <formula1>Währung</formula1>
    </dataValidation>
  </dataValidations>
  <pageMargins left="0.7" right="0.7" top="0.78740157499999996" bottom="0.78740157499999996" header="0.3" footer="0.3"/>
  <pageSetup paperSize="9" scale="6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f69ebd-a3b4-40e8-8ee7-36ccf8960234">
      <Terms xmlns="http://schemas.microsoft.com/office/infopath/2007/PartnerControls"/>
    </lcf76f155ced4ddcb4097134ff3c332f>
    <TaxCatchAll xmlns="e5f4e9e3-1714-4860-8510-4efb9f6633f0" xsi:nil="true"/>
    <Kataloogiomanik xmlns="4ef69ebd-a3b4-40e8-8ee7-36ccf8960234">
      <UserInfo>
        <DisplayName/>
        <AccountId xsi:nil="true"/>
        <AccountType/>
      </UserInfo>
    </Kataloogiomanik>
    <Kataloogiomanik_x002a_ xmlns="4ef69ebd-a3b4-40e8-8ee7-36ccf8960234">
      <UserInfo>
        <DisplayName/>
        <AccountId xsi:nil="true"/>
        <AccountType/>
      </UserInfo>
    </Kataloogiomanik_x002a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93E91FABE94BE4CA50E06787B85AB13" ma:contentTypeVersion="20" ma:contentTypeDescription="Loo uus dokument" ma:contentTypeScope="" ma:versionID="82d9272021f7e866dad131b3f3e0b2bf">
  <xsd:schema xmlns:xsd="http://www.w3.org/2001/XMLSchema" xmlns:xs="http://www.w3.org/2001/XMLSchema" xmlns:p="http://schemas.microsoft.com/office/2006/metadata/properties" xmlns:ns2="4ef69ebd-a3b4-40e8-8ee7-36ccf8960234" xmlns:ns3="e5f4e9e3-1714-4860-8510-4efb9f6633f0" targetNamespace="http://schemas.microsoft.com/office/2006/metadata/properties" ma:root="true" ma:fieldsID="3c9b910d8065154eeaae32f5a387f719" ns2:_="" ns3:_="">
    <xsd:import namespace="4ef69ebd-a3b4-40e8-8ee7-36ccf8960234"/>
    <xsd:import namespace="e5f4e9e3-1714-4860-8510-4efb9f6633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Kataloogiomanik" minOccurs="0"/>
                <xsd:element ref="ns2:Kataloogiomanik_x002a_"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69ebd-a3b4-40e8-8ee7-36ccf8960234"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SearchProperties" ma:index="6" nillable="true" ma:displayName="MediaServiceSearchProperties" ma:hidden="true" ma:internalName="MediaServiceSearchProperties" ma:readOnly="true">
      <xsd:simpleType>
        <xsd:restriction base="dms:Note"/>
      </xsd:simpleType>
    </xsd:element>
    <xsd:element name="lcf76f155ced4ddcb4097134ff3c332f" ma:index="8"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Kataloogiomanik" ma:index="15" nillable="true" ma:displayName="Kataloogi omanik" ma:list="UserInfo" ma:SharePointGroup="0" ma:internalName="Kataloogiomanik"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ataloogiomanik_x002a_" ma:index="16" nillable="true" ma:displayName="Kataloogi omanik*" ma:list="UserInfo" ma:SearchPeopleOnly="false" ma:SharePointGroup="0" ma:internalName="Kataloogiomanik_x002a_"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f4e9e3-1714-4860-8510-4efb9f6633f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2e6cd9c-1a88-4b1c-95f6-74b573ba611f}" ma:internalName="TaxCatchAll" ma:showField="CatchAllData" ma:web="e5f4e9e3-1714-4860-8510-4efb9f6633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Sisutüüp"/>
        <xsd:element ref="dc:title" minOccurs="0" maxOccurs="1" ma:index="3"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f:record ref="">
    <f:field ref="objname" par="" text="MKM_CR_ja_PIR_9_official"/>
    <f:field ref="objsubject" par="" text=""/>
    <f:field ref="objcreatedby" par="" text="Wey, Paula, SECO"/>
    <f:field ref="objcreatedat" par="" text="22.06.2017 09:34:11"/>
    <f:field ref="objchangedby" par="" text="Wey, Paula, SECO"/>
    <f:field ref="objmodifiedat" par="" text="22.06.2017 09:34:12"/>
    <f:field ref="doc_FSCFOLIO_1_1001_FieldDocumentNumber" par="" text=""/>
    <f:field ref="doc_FSCFOLIO_1_1001_FieldSubject" par="" text=""/>
    <f:field ref="FSCFOLIO_1_1001_FieldCurrentUser" par="" text="SECO Martin Scherer"/>
    <f:field ref="CCAPRECONFIG_15_1001_Objektname" par="" text="MKM_CR_ja_PIR_9_official"/>
    <f:field ref="CHPRECONFIG_1_1001_Objektname" par="" text="MKM_CR_ja_PIR_9_official"/>
  </f:record>
  <f:record inx="1" ref="">
    <f:field ref="CHPRECONFIG_1_1001_Anrede" par="" text=""/>
    <f:field ref="CHPRECONFIG_1_1001_Titel" par="" text=""/>
    <f:field ref="CHPRECONFIG_1_1001_Vorname" par="" text=""/>
    <f:field ref="CHPRECONFIG_1_1001_Nachname" par=""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E466FDDF-C3C3-4E62-BF1E-AB026CD85117}">
  <ds:schemaRefs>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 ds:uri="547fb7a0-db09-43f6-9170-f30777a89de8"/>
    <ds:schemaRef ds:uri="http://purl.org/dc/elements/1.1/"/>
    <ds:schemaRef ds:uri="http://www.w3.org/XML/1998/namespace"/>
    <ds:schemaRef ds:uri="http://schemas.microsoft.com/office/infopath/2007/PartnerControls"/>
    <ds:schemaRef ds:uri="b80212d2-ec93-4068-bbf7-e7a371074ec2"/>
    <ds:schemaRef ds:uri="4ef69ebd-a3b4-40e8-8ee7-36ccf8960234"/>
    <ds:schemaRef ds:uri="e5f4e9e3-1714-4860-8510-4efb9f6633f0"/>
  </ds:schemaRefs>
</ds:datastoreItem>
</file>

<file path=customXml/itemProps2.xml><?xml version="1.0" encoding="utf-8"?>
<ds:datastoreItem xmlns:ds="http://schemas.openxmlformats.org/officeDocument/2006/customXml" ds:itemID="{30E8709F-7242-49DC-BC07-B95A430E85D6}">
  <ds:schemaRefs>
    <ds:schemaRef ds:uri="http://schemas.microsoft.com/sharepoint/v3/contenttype/forms"/>
  </ds:schemaRefs>
</ds:datastoreItem>
</file>

<file path=customXml/itemProps3.xml><?xml version="1.0" encoding="utf-8"?>
<ds:datastoreItem xmlns:ds="http://schemas.openxmlformats.org/officeDocument/2006/customXml" ds:itemID="{3CB58B04-9A1D-47F7-9B8A-74C82AA0B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f69ebd-a3b4-40e8-8ee7-36ccf8960234"/>
    <ds:schemaRef ds:uri="e5f4e9e3-1714-4860-8510-4efb9f6633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6</vt:i4>
      </vt:variant>
      <vt:variant>
        <vt:lpstr>Nimega vahemikud</vt:lpstr>
      </vt:variant>
      <vt:variant>
        <vt:i4>9</vt:i4>
      </vt:variant>
    </vt:vector>
  </HeadingPairs>
  <TitlesOfParts>
    <vt:vector size="15" baseType="lpstr">
      <vt:lpstr>Reimbursement Request</vt:lpstr>
      <vt:lpstr>Financial Progress</vt:lpstr>
      <vt:lpstr>Operational Progress </vt:lpstr>
      <vt:lpstr>Programme Characteristics</vt:lpstr>
      <vt:lpstr>Procurement plan</vt:lpstr>
      <vt:lpstr>E-billing information</vt:lpstr>
      <vt:lpstr>'Programme Characteristics'!_Ref10720987</vt:lpstr>
      <vt:lpstr>'Programme Characteristics'!_Ref10721025</vt:lpstr>
      <vt:lpstr>'Programme Characteristics'!_Ref10721044</vt:lpstr>
      <vt:lpstr>'Programme Characteristics'!_Ref10721048</vt:lpstr>
      <vt:lpstr>'Programme Characteristics'!_Ref8906408</vt:lpstr>
      <vt:lpstr>'Financial Progress'!Prindiala</vt:lpstr>
      <vt:lpstr>'Procurement plan'!Prindiala</vt:lpstr>
      <vt:lpstr>'Programme Characteristics'!Prindiala</vt:lpstr>
      <vt:lpstr>'Reimbursement Request'!Prindiala</vt:lpstr>
    </vt:vector>
  </TitlesOfParts>
  <Manager/>
  <Company>Rahandusministeerium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RM</dc:creator>
  <cp:keywords/>
  <dc:description/>
  <cp:lastModifiedBy>Olga Gnezdovski - KUM</cp:lastModifiedBy>
  <cp:revision/>
  <dcterms:created xsi:type="dcterms:W3CDTF">2009-07-02T10:25:47Z</dcterms:created>
  <dcterms:modified xsi:type="dcterms:W3CDTF">2026-08-06T11:42:29Z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1</vt:lpwstr>
  </property>
  <property fmtid="{D5CDD505-2E9C-101B-9397-08002B2CF9AE}" pid="5" name="FSC#EVDCFG@15.1400:ActualVersionCreatedAt">
    <vt:lpwstr>2017-06-22T09:34:11</vt:lpwstr>
  </property>
  <property fmtid="{D5CDD505-2E9C-101B-9397-08002B2CF9AE}" pid="6" name="FSC#EVDCFG@15.1400:ResponsibleBureau_DE">
    <vt:lpwstr>Staatssekretariat für Wirtschaft SECO</vt:lpwstr>
  </property>
  <property fmtid="{D5CDD505-2E9C-101B-9397-08002B2CF9AE}" pid="7" name="FSC#EVDCFG@15.1400:ResponsibleBureau_EN">
    <vt:lpwstr>State Secretariat for Economic Affairs SECO</vt:lpwstr>
  </property>
  <property fmtid="{D5CDD505-2E9C-101B-9397-08002B2CF9AE}" pid="8" name="FSC#EVDCFG@15.1400:ResponsibleBureau_FR">
    <vt:lpwstr>Secrétariat d'Etat à l'économie SECO</vt:lpwstr>
  </property>
  <property fmtid="{D5CDD505-2E9C-101B-9397-08002B2CF9AE}" pid="9" name="FSC#EVDCFG@15.1400:ResponsibleBureau_IT">
    <vt:lpwstr>Segreteria di Stato dell’economia SECO</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855.3</vt:lpwstr>
  </property>
  <property fmtid="{D5CDD505-2E9C-101B-9397-08002B2CF9AE}" pid="20" name="FSC#EVDCFG@15.1400:Dossierref">
    <vt:lpwstr>855.3/2005/05670</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Erweiterungsbeitrag / Kohäsion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MKM_CR_ja_PIR_9_official</vt:lpwstr>
  </property>
  <property fmtid="{D5CDD505-2E9C-101B-9397-08002B2CF9AE}" pid="47" name="FSC#EVDCFG@15.1400:UserFunction">
    <vt:lpwstr/>
  </property>
  <property fmtid="{D5CDD505-2E9C-101B-9397-08002B2CF9AE}" pid="48" name="FSC#EVDCFG@15.1400:SalutationEnglish">
    <vt:lpwstr>Economic Cooperation and Development_x000d_
Contribution to EU enlargement / Cohesion</vt:lpwstr>
  </property>
  <property fmtid="{D5CDD505-2E9C-101B-9397-08002B2CF9AE}" pid="49" name="FSC#EVDCFG@15.1400:SalutationFrench">
    <vt:lpwstr>Coopération et Développement économiques_x000d_
Contribution à l’élargissement / Cohésion</vt:lpwstr>
  </property>
  <property fmtid="{D5CDD505-2E9C-101B-9397-08002B2CF9AE}" pid="50" name="FSC#EVDCFG@15.1400:SalutationGerman">
    <vt:lpwstr>Wirtschaftliche Zusammenarbeit und Entwicklung_x000d_
Erweiterungsbeitrag / Kohäsion</vt:lpwstr>
  </property>
  <property fmtid="{D5CDD505-2E9C-101B-9397-08002B2CF9AE}" pid="51" name="FSC#EVDCFG@15.1400:SalutationItalian">
    <vt:lpwstr>Cooperazione e sviluppo economici_x000d_
Contributo all’allargamento / Coesione</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WEKO / SECO</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Erweiterungsbeitrag / Kohäsion</vt:lpwstr>
  </property>
  <property fmtid="{D5CDD505-2E9C-101B-9397-08002B2CF9AE}" pid="60" name="FSC#COOELAK@1.1001:Subject">
    <vt:lpwstr>Das schweizerisch-estnische Zusammenarbeitsprogramm (CH-Kohäsionsbeitrag)</vt:lpwstr>
  </property>
  <property fmtid="{D5CDD505-2E9C-101B-9397-08002B2CF9AE}" pid="61" name="FSC#COOELAK@1.1001:FileReference">
    <vt:lpwstr>855.3/2005/05670</vt:lpwstr>
  </property>
  <property fmtid="{D5CDD505-2E9C-101B-9397-08002B2CF9AE}" pid="62" name="FSC#COOELAK@1.1001:FileRefYear">
    <vt:lpwstr>2005</vt:lpwstr>
  </property>
  <property fmtid="{D5CDD505-2E9C-101B-9397-08002B2CF9AE}" pid="63" name="FSC#COOELAK@1.1001:FileRefOrdinal">
    <vt:lpwstr>5670</vt:lpwstr>
  </property>
  <property fmtid="{D5CDD505-2E9C-101B-9397-08002B2CF9AE}" pid="64" name="FSC#COOELAK@1.1001:FileRefOU">
    <vt:lpwstr>WEKO / SECO</vt:lpwstr>
  </property>
  <property fmtid="{D5CDD505-2E9C-101B-9397-08002B2CF9AE}" pid="65" name="FSC#COOELAK@1.1001:Organization">
    <vt:lpwstr/>
  </property>
  <property fmtid="{D5CDD505-2E9C-101B-9397-08002B2CF9AE}" pid="66" name="FSC#COOELAK@1.1001:Owner">
    <vt:lpwstr>Wey Paula, SECO</vt:lpwstr>
  </property>
  <property fmtid="{D5CDD505-2E9C-101B-9397-08002B2CF9AE}" pid="67" name="FSC#COOELAK@1.1001:OwnerExtension">
    <vt:lpwstr>+41 58 464 47 77</vt:lpwstr>
  </property>
  <property fmtid="{D5CDD505-2E9C-101B-9397-08002B2CF9AE}" pid="68" name="FSC#COOELAK@1.1001:OwnerFaxExtension">
    <vt:lpwstr>+41 58 463 18 94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Erweiterungsbeitrag / Kohäsion (WEKO / SECO)</vt:lpwstr>
  </property>
  <property fmtid="{D5CDD505-2E9C-101B-9397-08002B2CF9AE}" pid="74" name="FSC#COOELAK@1.1001:CreatedAt">
    <vt:lpwstr>22.06.2017</vt:lpwstr>
  </property>
  <property fmtid="{D5CDD505-2E9C-101B-9397-08002B2CF9AE}" pid="75" name="FSC#COOELAK@1.1001:OU">
    <vt:lpwstr>Erweiterungsbeitrag / Kohäsion (WEKO / SECO)</vt:lpwstr>
  </property>
  <property fmtid="{D5CDD505-2E9C-101B-9397-08002B2CF9AE}" pid="76" name="FSC#COOELAK@1.1001:Priority">
    <vt:lpwstr> ()</vt:lpwstr>
  </property>
  <property fmtid="{D5CDD505-2E9C-101B-9397-08002B2CF9AE}" pid="77" name="FSC#COOELAK@1.1001:ObjBarCode">
    <vt:lpwstr>*COO.2101.104.3.2335966*</vt:lpwstr>
  </property>
  <property fmtid="{D5CDD505-2E9C-101B-9397-08002B2CF9AE}" pid="78" name="FSC#COOELAK@1.1001:RefBarCode">
    <vt:lpwstr>*COO.2101.104.2.2335966*</vt:lpwstr>
  </property>
  <property fmtid="{D5CDD505-2E9C-101B-9397-08002B2CF9AE}" pid="79" name="FSC#COOELAK@1.1001:FileRefBarCode">
    <vt:lpwstr>*855.3/2005/05670*</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855.3</vt:lpwstr>
  </property>
  <property fmtid="{D5CDD505-2E9C-101B-9397-08002B2CF9AE}" pid="93" name="FSC#COOELAK@1.1001:CurrentUserRolePos">
    <vt:lpwstr>Sachbearbeiter/in</vt:lpwstr>
  </property>
  <property fmtid="{D5CDD505-2E9C-101B-9397-08002B2CF9AE}" pid="94" name="FSC#COOELAK@1.1001:CurrentUserEmail">
    <vt:lpwstr>martin.scherer@seco.admin.ch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MKM_CR_ja_PIR_9_official</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2013/006565</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COO.2101.104.3.2335966</vt:lpwstr>
  </property>
  <property fmtid="{D5CDD505-2E9C-101B-9397-08002B2CF9AE}" pid="124" name="FSC#FSCFOLIO@1.1001:docpropproject">
    <vt:lpwstr/>
  </property>
  <property fmtid="{D5CDD505-2E9C-101B-9397-08002B2CF9AE}" pid="125" name="ContentTypeId">
    <vt:lpwstr>0x010100C93E91FABE94BE4CA50E06787B85AB13</vt:lpwstr>
  </property>
  <property fmtid="{D5CDD505-2E9C-101B-9397-08002B2CF9AE}" pid="126" name="MediaServiceImageTags">
    <vt:lpwstr/>
  </property>
  <property fmtid="{D5CDD505-2E9C-101B-9397-08002B2CF9AE}" pid="127" name="MSIP_Label_defa4170-0d19-0005-0004-bc88714345d2_Enabled">
    <vt:lpwstr>true</vt:lpwstr>
  </property>
  <property fmtid="{D5CDD505-2E9C-101B-9397-08002B2CF9AE}" pid="128" name="MSIP_Label_defa4170-0d19-0005-0004-bc88714345d2_SetDate">
    <vt:lpwstr>2025-08-05T14:59:23Z</vt:lpwstr>
  </property>
  <property fmtid="{D5CDD505-2E9C-101B-9397-08002B2CF9AE}" pid="129" name="MSIP_Label_defa4170-0d19-0005-0004-bc88714345d2_Method">
    <vt:lpwstr>Standard</vt:lpwstr>
  </property>
  <property fmtid="{D5CDD505-2E9C-101B-9397-08002B2CF9AE}" pid="130" name="MSIP_Label_defa4170-0d19-0005-0004-bc88714345d2_Name">
    <vt:lpwstr>defa4170-0d19-0005-0004-bc88714345d2</vt:lpwstr>
  </property>
  <property fmtid="{D5CDD505-2E9C-101B-9397-08002B2CF9AE}" pid="131" name="MSIP_Label_defa4170-0d19-0005-0004-bc88714345d2_SiteId">
    <vt:lpwstr>8fe098d2-428d-4bd4-9803-7195fe96f0e2</vt:lpwstr>
  </property>
  <property fmtid="{D5CDD505-2E9C-101B-9397-08002B2CF9AE}" pid="132" name="MSIP_Label_defa4170-0d19-0005-0004-bc88714345d2_ActionId">
    <vt:lpwstr>4eb11565-1771-437d-b74c-b05a4c27af72</vt:lpwstr>
  </property>
  <property fmtid="{D5CDD505-2E9C-101B-9397-08002B2CF9AE}" pid="133" name="MSIP_Label_defa4170-0d19-0005-0004-bc88714345d2_ContentBits">
    <vt:lpwstr>0</vt:lpwstr>
  </property>
  <property fmtid="{D5CDD505-2E9C-101B-9397-08002B2CF9AE}" pid="134" name="MSIP_Label_defa4170-0d19-0005-0004-bc88714345d2_Tag">
    <vt:lpwstr>10, 3, 0, 1</vt:lpwstr>
  </property>
  <property fmtid="{D5CDD505-2E9C-101B-9397-08002B2CF9AE}" pid="135" name="_ExtendedDescription">
    <vt:lpwstr/>
  </property>
</Properties>
</file>